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codeName="ThisWorkbook" defaultThemeVersion="166925"/>
  <mc:AlternateContent xmlns:mc="http://schemas.openxmlformats.org/markup-compatibility/2006">
    <mc:Choice Requires="x15">
      <x15ac:absPath xmlns:x15ac="http://schemas.microsoft.com/office/spreadsheetml/2010/11/ac" url="https://britishdentalassociation.sharepoint.com/sites/AdvisoryServices-documentationproduction/Shared Documents/General/Advice documents/"/>
    </mc:Choice>
  </mc:AlternateContent>
  <xr:revisionPtr revIDLastSave="189" documentId="8_{2A513459-3715-4506-829F-B2F526C354CF}" xr6:coauthVersionLast="47" xr6:coauthVersionMax="47" xr10:uidLastSave="{DDE3E7CE-16CF-4BBE-BEC5-BC9F375A1A37}"/>
  <bookViews>
    <workbookView xWindow="-120" yWindow="-120" windowWidth="29040" windowHeight="15840" xr2:uid="{FD58962F-2E5D-46AB-8287-BEA4546BD70E}"/>
  </bookViews>
  <sheets>
    <sheet name="NHS offset calculator" sheetId="7" r:id="rId1"/>
    <sheet name="with equal carry forward" sheetId="8" state="veryHidden" r:id="rId2"/>
  </sheets>
  <definedNames>
    <definedName name="cdt" localSheetId="1">'with equal carry forward'!$F$3</definedName>
    <definedName name="cdt">'NHS offset calculator'!$F$3</definedName>
    <definedName name="cdtb" localSheetId="1">'with equal carry forward'!$M$3</definedName>
    <definedName name="cdtb">'NHS offset calculator'!$M$3</definedName>
    <definedName name="cdtc" localSheetId="1">'with equal carry forward'!$M$4</definedName>
    <definedName name="cdtc">'NHS offset calculator'!$M$4</definedName>
    <definedName name="cdtd" localSheetId="1">'with equal carry forward'!$M$5</definedName>
    <definedName name="cdtd">'NHS offset calculator'!$M$5</definedName>
    <definedName name="dl" localSheetId="1">'with equal carry forward'!$U$4</definedName>
    <definedName name="dl">'NHS offset calculator'!$U$4</definedName>
    <definedName name="du" localSheetId="1">'with equal carry forward'!$U$3</definedName>
    <definedName name="du">'NHS offset calculator'!$U$3</definedName>
    <definedName name="dunit" localSheetId="0">'NHS offset calculator'!$E$5</definedName>
    <definedName name="dunit" localSheetId="1">'with equal carry forward'!$E$5</definedName>
    <definedName name="dunit">#REF!</definedName>
    <definedName name="lowerthresh" localSheetId="1">'with equal carry forward'!$U$7</definedName>
    <definedName name="lowerthresh">'NHS offset calculator'!$U$7</definedName>
    <definedName name="ol" localSheetId="1">'with equal carry forward'!$U$6</definedName>
    <definedName name="ol">'NHS offset calculator'!$U$6</definedName>
    <definedName name="ortho" localSheetId="1">'with equal carry forward'!$U$39</definedName>
    <definedName name="ortho">'NHS offset calculator'!$U$39</definedName>
    <definedName name="ou" localSheetId="1">'with equal carry forward'!$U$5</definedName>
    <definedName name="ou">'NHS offset calculator'!$U$5</definedName>
    <definedName name="_xlnm.Print_Area" localSheetId="0">'NHS offset calculator'!$B$1:$R$142</definedName>
    <definedName name="_xlnm.Print_Area" localSheetId="1">'with equal carry forward'!$B$1:$R$144</definedName>
    <definedName name="unit" localSheetId="0">'NHS offset calculator'!$E$5</definedName>
    <definedName name="unit" localSheetId="1">'with equal carry forward'!$E$5</definedName>
    <definedName name="unit">#REF!</definedName>
    <definedName name="yes_carry" localSheetId="1">'with equal carry forward'!$I$70</definedName>
    <definedName name="yes_carry">'NHS offset calculator'!$I$76</definedName>
    <definedName name="yes_offset" localSheetId="1">'with equal carry forward'!$I$69</definedName>
    <definedName name="yes_offset">'NHS offset calculator'!$I$75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 i="7" l="1"/>
  <c r="C12" i="8"/>
  <c r="D3" i="8"/>
  <c r="D49" i="8" s="1"/>
  <c r="E12" i="8"/>
  <c r="D12" i="8"/>
  <c r="D43" i="8" s="1"/>
  <c r="C8" i="8"/>
  <c r="E15" i="8" s="1"/>
  <c r="C5" i="8"/>
  <c r="D11" i="8" s="1"/>
  <c r="E49" i="7"/>
  <c r="D49" i="7"/>
  <c r="C49" i="7"/>
  <c r="U55" i="7"/>
  <c r="E11" i="7"/>
  <c r="D11" i="7"/>
  <c r="C11" i="7"/>
  <c r="F73" i="7"/>
  <c r="Q48" i="7"/>
  <c r="P48" i="7"/>
  <c r="O48" i="7"/>
  <c r="K48" i="7"/>
  <c r="J48" i="7"/>
  <c r="I48" i="7"/>
  <c r="E48" i="7"/>
  <c r="D48" i="7"/>
  <c r="C48" i="7"/>
  <c r="M5" i="7"/>
  <c r="K55" i="7"/>
  <c r="J55" i="7"/>
  <c r="I55" i="7"/>
  <c r="K53" i="7"/>
  <c r="J53" i="7"/>
  <c r="I53" i="7"/>
  <c r="E55" i="7"/>
  <c r="Q55" i="7"/>
  <c r="E22" i="7" s="1"/>
  <c r="U53" i="7"/>
  <c r="U54" i="7" s="1"/>
  <c r="P55" i="7"/>
  <c r="D22" i="7" s="1"/>
  <c r="O55" i="7"/>
  <c r="C22" i="7" s="1"/>
  <c r="D55" i="7"/>
  <c r="C55" i="7"/>
  <c r="Q53" i="7"/>
  <c r="E20" i="7" s="1"/>
  <c r="P53" i="7"/>
  <c r="D20" i="7" s="1"/>
  <c r="O53" i="7"/>
  <c r="C20" i="7" s="1"/>
  <c r="E53" i="7"/>
  <c r="D53" i="7"/>
  <c r="C53" i="7"/>
  <c r="U39" i="7"/>
  <c r="U7" i="7"/>
  <c r="E5" i="7"/>
  <c r="B49" i="7" s="1"/>
  <c r="C15" i="8" l="1"/>
  <c r="D15" i="8"/>
  <c r="M3" i="7"/>
  <c r="C50" i="7" s="1"/>
  <c r="C13" i="7" s="1"/>
  <c r="F3" i="7"/>
  <c r="C6" i="8"/>
  <c r="F3" i="8" s="1"/>
  <c r="C7" i="7"/>
  <c r="I43" i="8"/>
  <c r="U49" i="8"/>
  <c r="M3" i="8"/>
  <c r="C43" i="8"/>
  <c r="U7" i="8"/>
  <c r="O47" i="8"/>
  <c r="J49" i="8"/>
  <c r="C49" i="8"/>
  <c r="J47" i="8"/>
  <c r="K47" i="8"/>
  <c r="U39" i="8"/>
  <c r="P47" i="8"/>
  <c r="K49" i="8"/>
  <c r="E47" i="8"/>
  <c r="I47" i="8"/>
  <c r="I49" i="8"/>
  <c r="C47" i="8"/>
  <c r="Q47" i="8"/>
  <c r="O49" i="8"/>
  <c r="Q49" i="8"/>
  <c r="E49" i="8"/>
  <c r="E5" i="8"/>
  <c r="H60" i="8" s="1"/>
  <c r="D47" i="8"/>
  <c r="U47" i="8"/>
  <c r="U52" i="8" s="1"/>
  <c r="P49" i="8"/>
  <c r="B17" i="7"/>
  <c r="B13" i="7"/>
  <c r="B15" i="7"/>
  <c r="B16" i="7"/>
  <c r="D42" i="8"/>
  <c r="C7" i="8"/>
  <c r="F67" i="8"/>
  <c r="J43" i="8"/>
  <c r="K43" i="8"/>
  <c r="K42" i="8"/>
  <c r="E43" i="8"/>
  <c r="I42" i="8"/>
  <c r="P42" i="8"/>
  <c r="E11" i="8"/>
  <c r="C11" i="8"/>
  <c r="M4" i="8"/>
  <c r="E42" i="8"/>
  <c r="O42" i="8"/>
  <c r="M5" i="8"/>
  <c r="C42" i="8"/>
  <c r="J42" i="8"/>
  <c r="Q42" i="8"/>
  <c r="U58" i="7"/>
  <c r="E138" i="7"/>
  <c r="B11" i="7"/>
  <c r="B25" i="7"/>
  <c r="B12" i="7"/>
  <c r="B27" i="7"/>
  <c r="B31" i="7"/>
  <c r="C75" i="7"/>
  <c r="C56" i="7"/>
  <c r="H60" i="7"/>
  <c r="C52" i="7"/>
  <c r="N60" i="7"/>
  <c r="C60" i="7"/>
  <c r="C62" i="7" s="1"/>
  <c r="C63" i="7" s="1"/>
  <c r="H62" i="7"/>
  <c r="N62" i="7"/>
  <c r="B60" i="7"/>
  <c r="B62" i="7"/>
  <c r="C61" i="7"/>
  <c r="C54" i="7"/>
  <c r="D61" i="7"/>
  <c r="E61" i="7"/>
  <c r="B8" i="7"/>
  <c r="H48" i="7"/>
  <c r="H52" i="7"/>
  <c r="H58" i="7"/>
  <c r="H66" i="7"/>
  <c r="H49" i="7"/>
  <c r="K52" i="7"/>
  <c r="E56" i="7"/>
  <c r="U46" i="7"/>
  <c r="B66" i="7"/>
  <c r="N66" i="7"/>
  <c r="N48" i="7"/>
  <c r="B5" i="7"/>
  <c r="B52" i="7"/>
  <c r="N52" i="7"/>
  <c r="B58" i="7"/>
  <c r="B7" i="7"/>
  <c r="D60" i="7"/>
  <c r="D62" i="7" s="1"/>
  <c r="D63" i="7" s="1"/>
  <c r="E54" i="7"/>
  <c r="D50" i="7"/>
  <c r="D13" i="7" s="1"/>
  <c r="D52" i="7"/>
  <c r="E60" i="7"/>
  <c r="E62" i="7" s="1"/>
  <c r="E63" i="7" s="1"/>
  <c r="B48" i="7"/>
  <c r="N49" i="7"/>
  <c r="E50" i="7"/>
  <c r="E13" i="7" s="1"/>
  <c r="D54" i="7"/>
  <c r="D56" i="7"/>
  <c r="N58" i="7"/>
  <c r="C69" i="8" l="1"/>
  <c r="C75" i="8" s="1"/>
  <c r="C54" i="8"/>
  <c r="C56" i="8" s="1"/>
  <c r="C48" i="8"/>
  <c r="C46" i="8"/>
  <c r="C55" i="8"/>
  <c r="C50" i="8"/>
  <c r="C44" i="8"/>
  <c r="B25" i="8"/>
  <c r="U40" i="8"/>
  <c r="E46" i="8" s="1"/>
  <c r="N52" i="8"/>
  <c r="B46" i="8"/>
  <c r="B42" i="8"/>
  <c r="H52" i="8"/>
  <c r="B52" i="8"/>
  <c r="H54" i="8"/>
  <c r="N42" i="8"/>
  <c r="B7" i="8"/>
  <c r="H46" i="8"/>
  <c r="B5" i="8"/>
  <c r="B54" i="8"/>
  <c r="N43" i="8"/>
  <c r="H42" i="8"/>
  <c r="N56" i="8"/>
  <c r="B12" i="8"/>
  <c r="U48" i="8"/>
  <c r="N60" i="8"/>
  <c r="H43" i="8"/>
  <c r="N54" i="8"/>
  <c r="B56" i="8"/>
  <c r="B27" i="8"/>
  <c r="N46" i="8"/>
  <c r="H56" i="8"/>
  <c r="B11" i="8"/>
  <c r="B31" i="8"/>
  <c r="B43" i="8"/>
  <c r="B60" i="8"/>
  <c r="B8" i="8"/>
  <c r="E132" i="8"/>
  <c r="D48" i="8"/>
  <c r="E55" i="8"/>
  <c r="D54" i="8"/>
  <c r="D56" i="8" s="1"/>
  <c r="D57" i="8" s="1"/>
  <c r="D44" i="8"/>
  <c r="D13" i="8" s="1"/>
  <c r="D46" i="8"/>
  <c r="E44" i="8"/>
  <c r="E13" i="8" s="1"/>
  <c r="E48" i="8"/>
  <c r="E54" i="8"/>
  <c r="E56" i="8" s="1"/>
  <c r="E57" i="8" s="1"/>
  <c r="E50" i="8"/>
  <c r="D55" i="8"/>
  <c r="D50" i="8"/>
  <c r="K46" i="8"/>
  <c r="F75" i="7"/>
  <c r="D76" i="7" s="1"/>
  <c r="C80" i="7"/>
  <c r="C81" i="7"/>
  <c r="C64" i="7"/>
  <c r="U47" i="7"/>
  <c r="D64" i="7"/>
  <c r="D65" i="7" s="1"/>
  <c r="E64" i="7"/>
  <c r="C74" i="8" l="1"/>
  <c r="U41" i="8"/>
  <c r="U42" i="8" s="1"/>
  <c r="E58" i="8"/>
  <c r="D58" i="8"/>
  <c r="D59" i="8" s="1"/>
  <c r="C82" i="7"/>
  <c r="C83" i="7" s="1"/>
  <c r="C65" i="7"/>
  <c r="D67" i="7"/>
  <c r="D81" i="7"/>
  <c r="F76" i="7"/>
  <c r="E77" i="7" s="1"/>
  <c r="D80" i="7"/>
  <c r="U48" i="7"/>
  <c r="E52" i="7"/>
  <c r="U56" i="7" s="1"/>
  <c r="D82" i="7" l="1"/>
  <c r="D83" i="7" s="1"/>
  <c r="E81" i="7"/>
  <c r="F77" i="7"/>
  <c r="E80" i="7"/>
  <c r="E82" i="7" l="1"/>
  <c r="E83" i="7" s="1"/>
  <c r="C84" i="7"/>
  <c r="F84" i="7" l="1"/>
  <c r="D85" i="7" s="1"/>
  <c r="C89" i="7"/>
  <c r="D89" i="7" l="1"/>
  <c r="D127" i="8"/>
  <c r="J48" i="8"/>
  <c r="J52" i="8" s="1"/>
  <c r="J55" i="8"/>
  <c r="J50" i="8"/>
  <c r="C100" i="8" s="1"/>
  <c r="J46" i="8"/>
  <c r="J54" i="8"/>
  <c r="J56" i="8" s="1"/>
  <c r="J57" i="8" s="1"/>
  <c r="J44" i="8"/>
  <c r="F85" i="7"/>
  <c r="E86" i="7" s="1"/>
  <c r="F86" i="7" l="1"/>
  <c r="C90" i="7" s="1"/>
  <c r="E131" i="8"/>
  <c r="E133" i="8" s="1"/>
  <c r="E125" i="8"/>
  <c r="K44" i="8"/>
  <c r="K48" i="8"/>
  <c r="K52" i="8" s="1"/>
  <c r="F96" i="8" s="1"/>
  <c r="K55" i="8"/>
  <c r="K54" i="8"/>
  <c r="K56" i="8" s="1"/>
  <c r="K57" i="8" s="1"/>
  <c r="K50" i="8"/>
  <c r="E89" i="7"/>
  <c r="J58" i="8"/>
  <c r="C95" i="7" l="1"/>
  <c r="C96" i="7" s="1"/>
  <c r="F90" i="7"/>
  <c r="D91" i="7" s="1"/>
  <c r="K58" i="8"/>
  <c r="J59" i="8"/>
  <c r="D95" i="7" l="1"/>
  <c r="D96" i="7" s="1"/>
  <c r="F91" i="7"/>
  <c r="E92" i="7" l="1"/>
  <c r="F92" i="7" l="1"/>
  <c r="E95" i="7"/>
  <c r="E96" i="7" s="1"/>
  <c r="U60" i="7"/>
  <c r="U62" i="7" l="1"/>
  <c r="C66" i="7"/>
  <c r="I66" i="7"/>
  <c r="E65" i="7" l="1"/>
  <c r="D68" i="7" s="1"/>
  <c r="C57" i="8" l="1"/>
  <c r="C58" i="8" s="1"/>
  <c r="I46" i="8"/>
  <c r="I44" i="8"/>
  <c r="I54" i="8"/>
  <c r="I56" i="8" s="1"/>
  <c r="I57" i="8" s="1"/>
  <c r="I55" i="8"/>
  <c r="I48" i="8"/>
  <c r="C76" i="8"/>
  <c r="C77" i="8" s="1"/>
  <c r="C13" i="8"/>
  <c r="U50" i="8"/>
  <c r="U54" i="8" s="1"/>
  <c r="I50" i="8"/>
  <c r="C99" i="8" s="1"/>
  <c r="C103" i="8" s="1"/>
  <c r="F69" i="8"/>
  <c r="D70" i="8" l="1"/>
  <c r="C60" i="8"/>
  <c r="U56" i="8"/>
  <c r="I60" i="8"/>
  <c r="I58" i="8"/>
  <c r="I59" i="8" s="1"/>
  <c r="C106" i="8"/>
  <c r="D103" i="8"/>
  <c r="F103" i="8" s="1"/>
  <c r="F106" i="8" s="1"/>
  <c r="D61" i="8"/>
  <c r="C59" i="8"/>
  <c r="C115" i="8"/>
  <c r="D74" i="8" l="1"/>
  <c r="D75" i="8"/>
  <c r="F70" i="8"/>
  <c r="J61" i="8"/>
  <c r="K59" i="8"/>
  <c r="J62" i="8" s="1"/>
  <c r="E59" i="8"/>
  <c r="D62" i="8" s="1"/>
  <c r="C108" i="8"/>
  <c r="C107" i="8"/>
  <c r="D106" i="8"/>
  <c r="D115" i="8"/>
  <c r="D36" i="8" l="1"/>
  <c r="E71" i="8"/>
  <c r="D76" i="8"/>
  <c r="D77" i="8" s="1"/>
  <c r="I70" i="8"/>
  <c r="J64" i="8"/>
  <c r="D108" i="8"/>
  <c r="D107" i="8"/>
  <c r="C109" i="8"/>
  <c r="C110" i="8" s="1"/>
  <c r="E74" i="8" l="1"/>
  <c r="E75" i="8"/>
  <c r="D109" i="8"/>
  <c r="F71" i="8"/>
  <c r="F110" i="8"/>
  <c r="C78" i="8" l="1"/>
  <c r="E76" i="8"/>
  <c r="E77" i="8" s="1"/>
  <c r="D111" i="8"/>
  <c r="C83" i="8" l="1"/>
  <c r="F78" i="8"/>
  <c r="F111" i="8"/>
  <c r="F114" i="8" s="1"/>
  <c r="D79" i="8" l="1"/>
  <c r="F79" i="8" s="1"/>
  <c r="E80" i="8" s="1"/>
  <c r="C116" i="8"/>
  <c r="F80" i="8" l="1"/>
  <c r="E83" i="8"/>
  <c r="D83" i="8"/>
  <c r="D116" i="8"/>
  <c r="C84" i="8" l="1"/>
  <c r="F116" i="8"/>
  <c r="F124" i="8" l="1"/>
  <c r="E126" i="8" s="1"/>
  <c r="C89" i="8"/>
  <c r="C90" i="8" s="1"/>
  <c r="F84" i="8"/>
  <c r="O52" i="8"/>
  <c r="O43" i="8" s="1"/>
  <c r="D85" i="8" l="1"/>
  <c r="O54" i="8"/>
  <c r="O50" i="8"/>
  <c r="O46" i="8"/>
  <c r="O55" i="8"/>
  <c r="C26" i="8" s="1"/>
  <c r="C17" i="8"/>
  <c r="O44" i="8"/>
  <c r="C18" i="8" s="1"/>
  <c r="O48" i="8"/>
  <c r="F126" i="8"/>
  <c r="D128" i="8" s="1"/>
  <c r="D89" i="8" l="1"/>
  <c r="D90" i="8" s="1"/>
  <c r="F85" i="8"/>
  <c r="F128" i="8"/>
  <c r="E134" i="8" s="1"/>
  <c r="P52" i="8"/>
  <c r="P43" i="8" s="1"/>
  <c r="C25" i="8"/>
  <c r="O56" i="8"/>
  <c r="F134" i="8" l="1"/>
  <c r="E86" i="8"/>
  <c r="P44" i="8"/>
  <c r="D18" i="8" s="1"/>
  <c r="P46" i="8"/>
  <c r="P54" i="8"/>
  <c r="D25" i="8" s="1"/>
  <c r="P55" i="8"/>
  <c r="D26" i="8" s="1"/>
  <c r="P48" i="8"/>
  <c r="D17" i="8"/>
  <c r="P50" i="8"/>
  <c r="C27" i="8"/>
  <c r="O57" i="8"/>
  <c r="Q52" i="8"/>
  <c r="Q43" i="8" s="1"/>
  <c r="P56" i="8"/>
  <c r="E89" i="8" l="1"/>
  <c r="E90" i="8" s="1"/>
  <c r="F86" i="8"/>
  <c r="C91" i="8" s="1"/>
  <c r="D91" i="8" s="1"/>
  <c r="U53" i="8"/>
  <c r="Q44" i="8"/>
  <c r="E18" i="8" s="1"/>
  <c r="U45" i="8"/>
  <c r="Q50" i="8"/>
  <c r="Q54" i="8"/>
  <c r="E25" i="8" s="1"/>
  <c r="Q48" i="8"/>
  <c r="U44" i="8"/>
  <c r="Q46" i="8" s="1"/>
  <c r="U51" i="8" s="1"/>
  <c r="E17" i="8"/>
  <c r="Q55" i="8"/>
  <c r="E26" i="8" s="1"/>
  <c r="C28" i="8"/>
  <c r="O58" i="8"/>
  <c r="D27" i="8"/>
  <c r="P57" i="8"/>
  <c r="U55" i="8" l="1"/>
  <c r="O60" i="8" s="1"/>
  <c r="C31" i="8" s="1"/>
  <c r="E91" i="8"/>
  <c r="Q56" i="8"/>
  <c r="Q57" i="8" s="1"/>
  <c r="C29" i="8"/>
  <c r="O59" i="8"/>
  <c r="C30" i="8" s="1"/>
  <c r="D28" i="8"/>
  <c r="P58" i="8"/>
  <c r="U57" i="8" l="1"/>
  <c r="E27" i="8"/>
  <c r="E28" i="8"/>
  <c r="Q58" i="8"/>
  <c r="P59" i="8"/>
  <c r="D29" i="8"/>
  <c r="D30" i="8" l="1"/>
  <c r="E29" i="8"/>
  <c r="Q59" i="8"/>
  <c r="E30" i="8" s="1"/>
  <c r="P61" i="8"/>
  <c r="D32" i="8" s="1"/>
  <c r="P62" i="8" l="1"/>
  <c r="I69" i="8" l="1"/>
  <c r="P64" i="8"/>
  <c r="D35" i="8"/>
  <c r="D33" i="8"/>
  <c r="E16" i="8" l="1"/>
  <c r="D16" i="8"/>
  <c r="N64" i="8"/>
  <c r="C16" i="8"/>
  <c r="C97" i="7"/>
  <c r="C15" i="7" s="1"/>
  <c r="I49" i="7" l="1"/>
  <c r="I60" i="7" l="1"/>
  <c r="I62" i="7" s="1"/>
  <c r="I63" i="7" s="1"/>
  <c r="I56" i="7"/>
  <c r="C105" i="7" s="1"/>
  <c r="I54" i="7"/>
  <c r="I61" i="7"/>
  <c r="I52" i="7"/>
  <c r="I50" i="7"/>
  <c r="I64" i="7" l="1"/>
  <c r="I65" i="7" l="1"/>
  <c r="D97" i="7"/>
  <c r="J49" i="7" l="1"/>
  <c r="D133" i="7" s="1"/>
  <c r="D15" i="7"/>
  <c r="J50" i="7"/>
  <c r="J54" i="7"/>
  <c r="J58" i="7" s="1"/>
  <c r="J60" i="7"/>
  <c r="J62" i="7" s="1"/>
  <c r="J63" i="7" s="1"/>
  <c r="J52" i="7"/>
  <c r="J61" i="7"/>
  <c r="E97" i="7"/>
  <c r="J56" i="7" l="1"/>
  <c r="C106" i="7" s="1"/>
  <c r="K49" i="7"/>
  <c r="K54" i="7" s="1"/>
  <c r="K58" i="7" s="1"/>
  <c r="F102" i="7" s="1"/>
  <c r="E15" i="7"/>
  <c r="K56" i="7"/>
  <c r="K50" i="7"/>
  <c r="K61" i="7"/>
  <c r="K60" i="7"/>
  <c r="K62" i="7" s="1"/>
  <c r="K63" i="7" s="1"/>
  <c r="J64" i="7"/>
  <c r="E131" i="7" l="1"/>
  <c r="E137" i="7"/>
  <c r="E139" i="7" s="1"/>
  <c r="C109" i="7"/>
  <c r="D109" i="7" s="1"/>
  <c r="J65" i="7"/>
  <c r="K64" i="7"/>
  <c r="K65" i="7" s="1"/>
  <c r="D112" i="7" l="1"/>
  <c r="D121" i="7"/>
  <c r="F109" i="7"/>
  <c r="F112" i="7" s="1"/>
  <c r="J68" i="7"/>
  <c r="J67" i="7"/>
  <c r="C121" i="7"/>
  <c r="C112" i="7"/>
  <c r="D114" i="7" l="1"/>
  <c r="D113" i="7"/>
  <c r="I76" i="7"/>
  <c r="J70" i="7"/>
  <c r="D36" i="7"/>
  <c r="C114" i="7"/>
  <c r="C113" i="7"/>
  <c r="D115" i="7" l="1"/>
  <c r="C115" i="7"/>
  <c r="C116" i="7" s="1"/>
  <c r="F116" i="7" l="1"/>
  <c r="D117" i="7" l="1"/>
  <c r="F117" i="7" l="1"/>
  <c r="F120" i="7" s="1"/>
  <c r="C122" i="7" l="1"/>
  <c r="D122" i="7" l="1"/>
  <c r="F122" i="7" l="1"/>
  <c r="F130" i="7" s="1"/>
  <c r="E132" i="7" l="1"/>
  <c r="F132" i="7" s="1"/>
  <c r="D134" i="7" s="1"/>
  <c r="F134" i="7" s="1"/>
  <c r="E140" i="7" s="1"/>
  <c r="F140" i="7" s="1"/>
  <c r="O58" i="7"/>
  <c r="O49" i="7" s="1"/>
  <c r="O54" i="7" l="1"/>
  <c r="C21" i="7" s="1"/>
  <c r="O60" i="7"/>
  <c r="C25" i="7" s="1"/>
  <c r="O50" i="7"/>
  <c r="C18" i="7" s="1"/>
  <c r="O62" i="7"/>
  <c r="O56" i="7"/>
  <c r="C23" i="7" s="1"/>
  <c r="C17" i="7"/>
  <c r="O61" i="7"/>
  <c r="O52" i="7"/>
  <c r="C26" i="7" l="1"/>
  <c r="C27" i="7"/>
  <c r="O63" i="7"/>
  <c r="C28" i="7" s="1"/>
  <c r="P58" i="7"/>
  <c r="P49" i="7" s="1"/>
  <c r="Q58" i="7"/>
  <c r="Q49" i="7" s="1"/>
  <c r="E17" i="7" l="1"/>
  <c r="Q61" i="7"/>
  <c r="Q60" i="7"/>
  <c r="E25" i="7" s="1"/>
  <c r="Q56" i="7"/>
  <c r="E23" i="7" s="1"/>
  <c r="Q54" i="7"/>
  <c r="E21" i="7" s="1"/>
  <c r="Q50" i="7"/>
  <c r="E18" i="7" s="1"/>
  <c r="U50" i="7"/>
  <c r="Q52" i="7" s="1"/>
  <c r="U51" i="7"/>
  <c r="O64" i="7"/>
  <c r="P54" i="7"/>
  <c r="D21" i="7" s="1"/>
  <c r="P56" i="7"/>
  <c r="D23" i="7" s="1"/>
  <c r="P50" i="7"/>
  <c r="D18" i="7" s="1"/>
  <c r="P52" i="7"/>
  <c r="P61" i="7"/>
  <c r="P60" i="7"/>
  <c r="D25" i="7" s="1"/>
  <c r="D17" i="7"/>
  <c r="U59" i="7"/>
  <c r="U57" i="7" l="1"/>
  <c r="U61" i="7" s="1"/>
  <c r="O65" i="7"/>
  <c r="C29" i="7"/>
  <c r="E26" i="7"/>
  <c r="D26" i="7"/>
  <c r="Q62" i="7"/>
  <c r="P62" i="7"/>
  <c r="C30" i="7" l="1"/>
  <c r="P63" i="7"/>
  <c r="D27" i="7"/>
  <c r="Q63" i="7"/>
  <c r="E27" i="7"/>
  <c r="U63" i="7"/>
  <c r="O66" i="7"/>
  <c r="C31" i="7" s="1"/>
  <c r="E28" i="7" l="1"/>
  <c r="Q64" i="7"/>
  <c r="E29" i="7" s="1"/>
  <c r="D28" i="7"/>
  <c r="P64" i="7"/>
  <c r="Q65" i="7" l="1"/>
  <c r="E30" i="7" s="1"/>
  <c r="D29" i="7"/>
  <c r="P65" i="7"/>
  <c r="P67" i="7"/>
  <c r="D32" i="7" s="1"/>
  <c r="D30" i="7" l="1"/>
  <c r="P68" i="7"/>
  <c r="D38" i="7" s="1"/>
  <c r="I75" i="7" l="1"/>
  <c r="D35" i="7"/>
  <c r="D33" i="7"/>
  <c r="P70" i="7"/>
  <c r="E16" i="7" l="1"/>
  <c r="C16" i="7"/>
  <c r="D16" i="7"/>
  <c r="N70" i="7"/>
</calcChain>
</file>

<file path=xl/sharedStrings.xml><?xml version="1.0" encoding="utf-8"?>
<sst xmlns="http://schemas.openxmlformats.org/spreadsheetml/2006/main" count="306" uniqueCount="109">
  <si>
    <t>Practice annual contract value</t>
  </si>
  <si>
    <t>NHS payment for first half</t>
  </si>
  <si>
    <t>H1</t>
  </si>
  <si>
    <t>Minimum threshold</t>
  </si>
  <si>
    <t>Threshold for full payment</t>
  </si>
  <si>
    <t xml:space="preserve">   Threshold met?</t>
  </si>
  <si>
    <t>Q3</t>
  </si>
  <si>
    <t>Q4</t>
  </si>
  <si>
    <t>Before offsetting</t>
  </si>
  <si>
    <t>Value of clawback</t>
  </si>
  <si>
    <t>Value of adjustment</t>
  </si>
  <si>
    <t>Total NHS payment</t>
  </si>
  <si>
    <t>After offsetting</t>
  </si>
  <si>
    <t>Order for allocation</t>
  </si>
  <si>
    <t>Allocate</t>
  </si>
  <si>
    <t>Where do the offset UDAs come from?</t>
  </si>
  <si>
    <t>How many are needed.</t>
  </si>
  <si>
    <t>2. Q3 over threshold?</t>
  </si>
  <si>
    <t>3. Q4 over threshold?</t>
  </si>
  <si>
    <t xml:space="preserve">  what is our capped UDA perf</t>
  </si>
  <si>
    <t xml:space="preserve">  what is 85%</t>
  </si>
  <si>
    <t xml:space="preserve">  what is the excess?</t>
  </si>
  <si>
    <t xml:space="preserve">  what do we take?</t>
  </si>
  <si>
    <t>Allocating extra UDAs</t>
  </si>
  <si>
    <t>Dental</t>
  </si>
  <si>
    <t>Orthodontic</t>
  </si>
  <si>
    <t>Percentage normal target performed</t>
  </si>
  <si>
    <t>1. did practice overperform in Q4?</t>
  </si>
  <si>
    <t>This spreadsheet is given to members as a privilege of membership. It is not to be shared outside of the practice.
© British Dental Association 2021-22</t>
  </si>
  <si>
    <t>2021-2022 - NHS income, clawback, abatement and offsetting calculations</t>
  </si>
  <si>
    <t>Running</t>
  </si>
  <si>
    <t>1. Bring up to minimum threshold</t>
  </si>
  <si>
    <t>To bring H1 up to min threshold</t>
  </si>
  <si>
    <t>To bring Q3 up to min threshold</t>
  </si>
  <si>
    <t>2. Raising period higher</t>
  </si>
  <si>
    <t>Above minimum?</t>
  </si>
  <si>
    <t>What is threshold?</t>
  </si>
  <si>
    <t>What have we got?</t>
  </si>
  <si>
    <t>What do we need?</t>
  </si>
  <si>
    <t>What do we take H1?</t>
  </si>
  <si>
    <t>What do we take H2?</t>
  </si>
  <si>
    <t>Type of contract (general dental / orthodontic):</t>
  </si>
  <si>
    <t>If enough to bring to theshold, deduct</t>
  </si>
  <si>
    <t>UDA upper</t>
  </si>
  <si>
    <t>UDA lower</t>
  </si>
  <si>
    <t>UOA upper</t>
  </si>
  <si>
    <t>UOA lower</t>
  </si>
  <si>
    <t>Dental pre offset</t>
  </si>
  <si>
    <t>Ortho pre offset</t>
  </si>
  <si>
    <t>Dental post-offset</t>
  </si>
  <si>
    <t>Ortho post-offset</t>
  </si>
  <si>
    <t>Clawback + adjustment</t>
  </si>
  <si>
    <t>3. Using any left to raise towards minimum threshold</t>
  </si>
  <si>
    <t>Remaining</t>
  </si>
  <si>
    <t>Below threshold</t>
  </si>
  <si>
    <t>So take</t>
  </si>
  <si>
    <t>upper limit</t>
  </si>
  <si>
    <t>max udas</t>
  </si>
  <si>
    <t>has practice performed at least 100%</t>
  </si>
  <si>
    <t>uda before adjustment (less than 100%)</t>
  </si>
  <si>
    <t>uda after adjustment (less than 100%)</t>
  </si>
  <si>
    <t>uda before adjustmnet (more than 100%)</t>
  </si>
  <si>
    <t>uda after adjustmnet (more than 100%)</t>
  </si>
  <si>
    <t>Figure to take forward (before)</t>
  </si>
  <si>
    <t>Figure to take forward (after)</t>
  </si>
  <si>
    <t>Extra payment before adjustment</t>
  </si>
  <si>
    <t>Extra payment after adjustment</t>
  </si>
  <si>
    <t>This spreadsheet is designed to give BDA members an idea of practice NHS income based on practice NHS performance in the year 2021-2022. It is based on our interpretation of NHS guidance. Whilst we have tried to ensure this spreadsheet is accurate and correct, we cannot be responsible for any errors and we encourage members to check figures with the BSA before making important decisions for the practice.
We are hoping for clarification from NHS England on some points that may affect the calculations in this spreadsheet.</t>
  </si>
  <si>
    <t>Total NHS clawback and abatement</t>
  </si>
  <si>
    <t>Version 4 (15 August 2022)</t>
  </si>
  <si>
    <t>Benefit to the practice from carry forward</t>
  </si>
  <si>
    <t>Offset calculation</t>
  </si>
  <si>
    <t>Carry Forward calculation</t>
  </si>
  <si>
    <t>1. Bring up to Minimum Threshhold</t>
  </si>
  <si>
    <t>Bring H1 up to min threshold</t>
  </si>
  <si>
    <t>Bring Q3 up to min threshold</t>
  </si>
  <si>
    <t>Bring Q4 up to min theshold</t>
  </si>
  <si>
    <t>2. Raising above threshold</t>
  </si>
  <si>
    <t>Raising H1 above threshold</t>
  </si>
  <si>
    <t>Raising Q3 above theshold</t>
  </si>
  <si>
    <t>Raising Q4 above theshold</t>
  </si>
  <si>
    <t>3. Raising towards threshold</t>
  </si>
  <si>
    <t>Raising Q3 towards theshold</t>
  </si>
  <si>
    <t>Raising H1 towards theshold</t>
  </si>
  <si>
    <t>Amount to high threshold</t>
  </si>
  <si>
    <t>Above min threshold</t>
  </si>
  <si>
    <t>Below max threshold</t>
  </si>
  <si>
    <t>Between thresholds</t>
  </si>
  <si>
    <t>Below min threshold</t>
  </si>
  <si>
    <t>Raising Q4 towards threshold</t>
  </si>
  <si>
    <t>After carry forward</t>
  </si>
  <si>
    <t>UDAs added from carry forward</t>
  </si>
  <si>
    <t>Adjustments to UDAs from offsetting</t>
  </si>
  <si>
    <t>Udjusted UDA performance</t>
  </si>
  <si>
    <t>Percentage UDAs before adjustments</t>
  </si>
  <si>
    <t>Percentage UDAs after adjustments</t>
  </si>
  <si>
    <t>No</t>
  </si>
  <si>
    <t>Yes</t>
  </si>
  <si>
    <t>Benefit to practice of offsetting:</t>
  </si>
  <si>
    <t>Benefit to practice from carry forward</t>
  </si>
  <si>
    <t>Reduced income if even distribution of carry forward across year</t>
  </si>
  <si>
    <t>f</t>
  </si>
  <si>
    <t>4. Spreading remaining UDAs</t>
  </si>
  <si>
    <t>4. Raising above threshold to reduce adjustment</t>
  </si>
  <si>
    <t>Adding to each period</t>
  </si>
  <si>
    <t>Amount to 100%</t>
  </si>
  <si>
    <t>Above max and below 100%?</t>
  </si>
  <si>
    <t>Version 4.2 (23 August 2022)</t>
  </si>
  <si>
    <t>Note, we are currently seeking clarificaiton from NHS England in relation to how UDA carry forward should be distributed. The calculations in this spreadsheet are based on our current understanding.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</si>
</sst>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quot;£&quot;#,##0"/>
    <numFmt numFmtId="166" formatCode="#,##0.0"/>
    <numFmt numFmtId="167" formatCode="0.0"/>
  </numFmts>
  <fonts count="23" x14ac:knownFonts="1">
    <font>
      <sz val="11"/>
      <color theme="1"/>
      <name val="Calibri"/>
      <family val="2"/>
      <scheme val="minor"/>
    </font>
    <font>
      <sz val="8"/>
      <name val="Calibri"/>
      <family val="2"/>
      <scheme val="minor"/>
    </font>
    <font>
      <sz val="8"/>
      <color theme="1"/>
      <name val="Calibri"/>
      <family val="2"/>
      <scheme val="minor"/>
    </font>
    <font>
      <b/>
      <sz val="11"/>
      <color theme="1"/>
      <name val="Calibri"/>
      <family val="2"/>
      <scheme val="minor"/>
    </font>
    <font>
      <sz val="11"/>
      <color theme="1" tint="0.34998626667073579"/>
      <name val="Calibri"/>
      <family val="2"/>
      <scheme val="minor"/>
    </font>
    <font>
      <sz val="11"/>
      <color rgb="FFFFC000"/>
      <name val="Calibri"/>
      <family val="2"/>
      <scheme val="minor"/>
    </font>
    <font>
      <b/>
      <sz val="11"/>
      <name val="Calibri"/>
      <family val="2"/>
      <scheme val="minor"/>
    </font>
    <font>
      <sz val="8"/>
      <color theme="0"/>
      <name val="Calibri"/>
      <family val="2"/>
      <scheme val="minor"/>
    </font>
    <font>
      <b/>
      <sz val="11"/>
      <color theme="1"/>
      <name val="Arial"/>
      <family val="2"/>
    </font>
    <font>
      <b/>
      <sz val="14"/>
      <color theme="1"/>
      <name val="Calibri"/>
      <family val="2"/>
      <scheme val="minor"/>
    </font>
    <font>
      <sz val="11"/>
      <color theme="0"/>
      <name val="Calibri"/>
      <family val="2"/>
      <scheme val="minor"/>
    </font>
    <font>
      <sz val="11"/>
      <name val="Calibri"/>
      <family val="2"/>
      <scheme val="minor"/>
    </font>
    <font>
      <sz val="11"/>
      <color rgb="FFC00000"/>
      <name val="Calibri"/>
      <family val="2"/>
      <scheme val="minor"/>
    </font>
    <font>
      <b/>
      <sz val="16"/>
      <color rgb="FF002060"/>
      <name val="Calibri"/>
      <family val="2"/>
      <scheme val="minor"/>
    </font>
    <font>
      <b/>
      <sz val="11"/>
      <color rgb="FF002060"/>
      <name val="Calibri"/>
      <family val="2"/>
      <scheme val="minor"/>
    </font>
    <font>
      <sz val="11"/>
      <color rgb="FF002060"/>
      <name val="Calibri"/>
      <family val="2"/>
      <scheme val="minor"/>
    </font>
    <font>
      <b/>
      <sz val="11"/>
      <color rgb="FFC00000"/>
      <name val="Calibri"/>
      <family val="2"/>
      <scheme val="minor"/>
    </font>
    <font>
      <b/>
      <sz val="14"/>
      <color rgb="FFC00000"/>
      <name val="Calibri"/>
      <family val="2"/>
      <scheme val="minor"/>
    </font>
    <font>
      <sz val="11"/>
      <color theme="1" tint="0.499984740745262"/>
      <name val="Calibri"/>
      <family val="2"/>
      <scheme val="minor"/>
    </font>
    <font>
      <sz val="11"/>
      <color rgb="FFFF0000"/>
      <name val="Calibri"/>
      <family val="2"/>
      <scheme val="minor"/>
    </font>
    <font>
      <b/>
      <strike/>
      <sz val="11"/>
      <color rgb="FF002060"/>
      <name val="Calibri"/>
      <family val="2"/>
      <scheme val="minor"/>
    </font>
    <font>
      <strike/>
      <sz val="11"/>
      <color rgb="FF002060"/>
      <name val="Calibri"/>
      <family val="2"/>
      <scheme val="minor"/>
    </font>
    <font>
      <b/>
      <sz val="11"/>
      <color rgb="FFFF0000"/>
      <name val="Calibri"/>
      <family val="2"/>
      <scheme val="minor"/>
    </font>
  </fonts>
  <fills count="3">
    <fill>
      <patternFill patternType="none"/>
    </fill>
    <fill>
      <patternFill patternType="gray125"/>
    </fill>
    <fill>
      <patternFill patternType="solid">
        <fgColor rgb="FFFFFF00"/>
        <bgColor indexed="64"/>
      </patternFill>
    </fill>
  </fills>
  <borders count="22">
    <border>
      <left/>
      <right/>
      <top/>
      <bottom/>
      <diagonal/>
    </border>
    <border>
      <left/>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style="medium">
        <color rgb="FFFF0000"/>
      </left>
      <right/>
      <top/>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style="medium">
        <color rgb="FF7030A0"/>
      </left>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
      <left/>
      <right style="medium">
        <color rgb="FFFF0000"/>
      </right>
      <top style="medium">
        <color rgb="FFFF0000"/>
      </top>
      <bottom style="medium">
        <color rgb="FFFF0000"/>
      </bottom>
      <diagonal/>
    </border>
  </borders>
  <cellStyleXfs count="1">
    <xf numFmtId="0" fontId="0" fillId="0" borderId="0"/>
  </cellStyleXfs>
  <cellXfs count="161">
    <xf numFmtId="0" fontId="0" fillId="0" borderId="0" xfId="0"/>
    <xf numFmtId="3" fontId="0" fillId="2" borderId="0" xfId="0" applyNumberFormat="1" applyFill="1" applyProtection="1">
      <protection locked="0"/>
    </xf>
    <xf numFmtId="165" fontId="0" fillId="2" borderId="0" xfId="0" applyNumberFormat="1" applyFill="1" applyProtection="1">
      <protection locked="0"/>
    </xf>
    <xf numFmtId="0" fontId="0" fillId="0" borderId="0" xfId="0" applyProtection="1"/>
    <xf numFmtId="0" fontId="0" fillId="0" borderId="1" xfId="0" applyBorder="1" applyProtection="1"/>
    <xf numFmtId="9" fontId="0" fillId="0" borderId="1" xfId="0" applyNumberFormat="1" applyBorder="1" applyProtection="1"/>
    <xf numFmtId="0" fontId="0" fillId="0" borderId="2" xfId="0" applyBorder="1" applyProtection="1"/>
    <xf numFmtId="0" fontId="0" fillId="0" borderId="2" xfId="0" applyBorder="1" applyAlignment="1" applyProtection="1">
      <alignment horizontal="right"/>
    </xf>
    <xf numFmtId="0" fontId="0" fillId="0" borderId="0" xfId="0" applyAlignment="1" applyProtection="1">
      <alignment horizontal="right"/>
    </xf>
    <xf numFmtId="164" fontId="0" fillId="0" borderId="0" xfId="0" applyNumberFormat="1" applyProtection="1"/>
    <xf numFmtId="164" fontId="3" fillId="0" borderId="0" xfId="0" applyNumberFormat="1" applyFont="1" applyProtection="1"/>
    <xf numFmtId="9" fontId="6" fillId="0" borderId="0" xfId="0" applyNumberFormat="1" applyFont="1" applyFill="1" applyBorder="1" applyProtection="1"/>
    <xf numFmtId="9" fontId="6" fillId="0" borderId="6" xfId="0" applyNumberFormat="1" applyFont="1" applyFill="1" applyBorder="1" applyProtection="1"/>
    <xf numFmtId="9" fontId="4" fillId="0" borderId="0" xfId="0" applyNumberFormat="1" applyFont="1" applyFill="1" applyBorder="1" applyProtection="1"/>
    <xf numFmtId="9" fontId="4" fillId="0" borderId="6" xfId="0" applyNumberFormat="1" applyFont="1" applyFill="1" applyBorder="1" applyProtection="1"/>
    <xf numFmtId="0" fontId="3" fillId="0" borderId="3" xfId="0" applyFont="1" applyBorder="1" applyProtection="1"/>
    <xf numFmtId="0" fontId="0" fillId="0" borderId="4" xfId="0" applyBorder="1" applyProtection="1"/>
    <xf numFmtId="0" fontId="0" fillId="0" borderId="5" xfId="0" applyBorder="1" applyProtection="1"/>
    <xf numFmtId="0" fontId="3" fillId="0" borderId="0" xfId="0" applyFont="1" applyBorder="1" applyAlignment="1" applyProtection="1">
      <alignment horizontal="center" vertical="center"/>
    </xf>
    <xf numFmtId="0" fontId="3" fillId="0" borderId="6" xfId="0" applyFont="1" applyBorder="1" applyAlignment="1" applyProtection="1">
      <alignment horizontal="center" vertical="center"/>
    </xf>
    <xf numFmtId="3" fontId="0" fillId="0" borderId="0" xfId="0" applyNumberFormat="1" applyFill="1" applyBorder="1" applyProtection="1"/>
    <xf numFmtId="3" fontId="0" fillId="0" borderId="6" xfId="0" applyNumberFormat="1" applyFill="1" applyBorder="1" applyProtection="1"/>
    <xf numFmtId="0" fontId="0" fillId="0" borderId="3" xfId="0" applyBorder="1" applyProtection="1"/>
    <xf numFmtId="9" fontId="0" fillId="0" borderId="4" xfId="0" applyNumberFormat="1" applyBorder="1" applyProtection="1"/>
    <xf numFmtId="0" fontId="0" fillId="0" borderId="7" xfId="0" applyBorder="1" applyProtection="1"/>
    <xf numFmtId="0" fontId="0" fillId="0" borderId="8" xfId="0" applyBorder="1" applyAlignment="1" applyProtection="1">
      <alignment horizontal="right"/>
    </xf>
    <xf numFmtId="0" fontId="0" fillId="0" borderId="0" xfId="0" applyBorder="1" applyProtection="1"/>
    <xf numFmtId="0" fontId="0" fillId="0" borderId="6" xfId="0" applyBorder="1" applyProtection="1"/>
    <xf numFmtId="0" fontId="0" fillId="0" borderId="0" xfId="0" applyBorder="1" applyAlignment="1" applyProtection="1">
      <alignment horizontal="right"/>
    </xf>
    <xf numFmtId="0" fontId="0" fillId="0" borderId="6" xfId="0" applyBorder="1" applyAlignment="1" applyProtection="1">
      <alignment horizontal="right"/>
    </xf>
    <xf numFmtId="165" fontId="0" fillId="0" borderId="0" xfId="0" applyNumberFormat="1" applyBorder="1" applyAlignment="1" applyProtection="1">
      <alignment horizontal="right"/>
    </xf>
    <xf numFmtId="165" fontId="0" fillId="0" borderId="6" xfId="0" applyNumberFormat="1" applyBorder="1" applyAlignment="1" applyProtection="1">
      <alignment horizontal="right"/>
    </xf>
    <xf numFmtId="0" fontId="0" fillId="0" borderId="0" xfId="0" applyNumberFormat="1" applyBorder="1" applyAlignment="1" applyProtection="1">
      <alignment horizontal="right"/>
    </xf>
    <xf numFmtId="0" fontId="0" fillId="0" borderId="6" xfId="0" applyNumberFormat="1" applyBorder="1" applyAlignment="1" applyProtection="1">
      <alignment horizontal="right"/>
    </xf>
    <xf numFmtId="164" fontId="0" fillId="0" borderId="0" xfId="0" applyNumberFormat="1" applyBorder="1" applyProtection="1"/>
    <xf numFmtId="164" fontId="0" fillId="0" borderId="6" xfId="0" applyNumberFormat="1" applyBorder="1" applyProtection="1"/>
    <xf numFmtId="0" fontId="3" fillId="0" borderId="7" xfId="0" applyFont="1" applyBorder="1" applyProtection="1"/>
    <xf numFmtId="164" fontId="3" fillId="0" borderId="2" xfId="0" applyNumberFormat="1" applyFont="1" applyBorder="1" applyProtection="1"/>
    <xf numFmtId="0" fontId="0" fillId="0" borderId="8" xfId="0" applyBorder="1" applyProtection="1"/>
    <xf numFmtId="165" fontId="0" fillId="0" borderId="0" xfId="0" applyNumberFormat="1" applyProtection="1"/>
    <xf numFmtId="0" fontId="5" fillId="0" borderId="0" xfId="0" applyFont="1" applyProtection="1"/>
    <xf numFmtId="3" fontId="5" fillId="0" borderId="0" xfId="0" applyNumberFormat="1" applyFont="1" applyProtection="1"/>
    <xf numFmtId="165" fontId="0" fillId="0" borderId="0" xfId="0" applyNumberFormat="1" applyBorder="1" applyProtection="1"/>
    <xf numFmtId="0" fontId="7" fillId="0" borderId="0" xfId="0" applyFont="1" applyProtection="1"/>
    <xf numFmtId="0" fontId="0" fillId="2" borderId="0" xfId="0" applyFill="1" applyProtection="1">
      <protection locked="0"/>
    </xf>
    <xf numFmtId="0" fontId="3" fillId="0" borderId="0" xfId="0" applyFont="1" applyFill="1" applyBorder="1" applyProtection="1"/>
    <xf numFmtId="0" fontId="8" fillId="0" borderId="11" xfId="0" applyFont="1" applyBorder="1" applyAlignment="1">
      <alignment wrapText="1"/>
    </xf>
    <xf numFmtId="0" fontId="3" fillId="0" borderId="0" xfId="0" applyFont="1" applyBorder="1" applyAlignment="1" applyProtection="1">
      <alignment wrapText="1"/>
    </xf>
    <xf numFmtId="0" fontId="9" fillId="0" borderId="0" xfId="0" applyFont="1" applyProtection="1"/>
    <xf numFmtId="3" fontId="0" fillId="0" borderId="0" xfId="0" applyNumberFormat="1" applyProtection="1"/>
    <xf numFmtId="0" fontId="5" fillId="0" borderId="0" xfId="0" applyFont="1" applyAlignment="1" applyProtection="1">
      <alignment horizontal="right"/>
    </xf>
    <xf numFmtId="0" fontId="10" fillId="0" borderId="0" xfId="0" applyFont="1" applyProtection="1"/>
    <xf numFmtId="0" fontId="11" fillId="0" borderId="0" xfId="0" applyFont="1" applyProtection="1"/>
    <xf numFmtId="166" fontId="0" fillId="2" borderId="0" xfId="0" applyNumberFormat="1" applyFill="1" applyBorder="1" applyProtection="1">
      <protection locked="0"/>
    </xf>
    <xf numFmtId="166" fontId="0" fillId="2" borderId="6" xfId="0" applyNumberFormat="1" applyFill="1" applyBorder="1" applyProtection="1">
      <protection locked="0"/>
    </xf>
    <xf numFmtId="166" fontId="0" fillId="0" borderId="0" xfId="0" applyNumberFormat="1" applyFill="1" applyBorder="1" applyProtection="1"/>
    <xf numFmtId="166" fontId="0" fillId="0" borderId="6" xfId="0" applyNumberFormat="1" applyFill="1" applyBorder="1" applyProtection="1"/>
    <xf numFmtId="167" fontId="0" fillId="0" borderId="0" xfId="0" applyNumberFormat="1" applyBorder="1" applyProtection="1"/>
    <xf numFmtId="167" fontId="0" fillId="0" borderId="6" xfId="0" applyNumberFormat="1" applyBorder="1" applyProtection="1"/>
    <xf numFmtId="166" fontId="0" fillId="0" borderId="0" xfId="0" applyNumberFormat="1" applyBorder="1" applyProtection="1"/>
    <xf numFmtId="166" fontId="0" fillId="0" borderId="6" xfId="0" applyNumberFormat="1" applyBorder="1" applyProtection="1"/>
    <xf numFmtId="9" fontId="0" fillId="0" borderId="4" xfId="0" applyNumberFormat="1" applyBorder="1" applyAlignment="1" applyProtection="1">
      <alignment horizontal="right"/>
    </xf>
    <xf numFmtId="0" fontId="11" fillId="0" borderId="5" xfId="0" applyFont="1" applyBorder="1" applyProtection="1"/>
    <xf numFmtId="0" fontId="2" fillId="0" borderId="0" xfId="0" applyFont="1" applyProtection="1"/>
    <xf numFmtId="0" fontId="1" fillId="0" borderId="0" xfId="0" applyFont="1" applyAlignment="1" applyProtection="1">
      <alignment horizontal="left"/>
    </xf>
    <xf numFmtId="0" fontId="1" fillId="0" borderId="0" xfId="0" applyFont="1" applyProtection="1"/>
    <xf numFmtId="164" fontId="0" fillId="0" borderId="0" xfId="0" applyNumberFormat="1" applyBorder="1" applyAlignment="1" applyProtection="1">
      <alignment horizontal="right"/>
    </xf>
    <xf numFmtId="165" fontId="0" fillId="0" borderId="6" xfId="0" applyNumberFormat="1" applyBorder="1" applyProtection="1"/>
    <xf numFmtId="0" fontId="8" fillId="0" borderId="0" xfId="0" applyFont="1" applyBorder="1" applyAlignment="1">
      <alignment wrapText="1"/>
    </xf>
    <xf numFmtId="0" fontId="8" fillId="0" borderId="14" xfId="0" applyFont="1" applyBorder="1" applyAlignment="1">
      <alignment vertical="top" wrapText="1"/>
    </xf>
    <xf numFmtId="0" fontId="8" fillId="0" borderId="0" xfId="0" applyFont="1" applyBorder="1" applyAlignment="1">
      <alignment vertical="top" wrapText="1"/>
    </xf>
    <xf numFmtId="0" fontId="1" fillId="0" borderId="0" xfId="0" applyFont="1" applyFill="1" applyBorder="1" applyAlignment="1" applyProtection="1">
      <alignment horizontal="left" vertical="center"/>
    </xf>
    <xf numFmtId="9" fontId="1" fillId="0" borderId="0" xfId="0" applyNumberFormat="1" applyFont="1" applyProtection="1"/>
    <xf numFmtId="167" fontId="1" fillId="0" borderId="0" xfId="0" applyNumberFormat="1" applyFont="1" applyProtection="1"/>
    <xf numFmtId="0" fontId="1" fillId="0" borderId="0" xfId="0" applyNumberFormat="1" applyFont="1" applyProtection="1"/>
    <xf numFmtId="164" fontId="1" fillId="0" borderId="0" xfId="0" applyNumberFormat="1" applyFont="1" applyProtection="1"/>
    <xf numFmtId="0" fontId="13" fillId="0" borderId="0" xfId="0" applyFont="1" applyProtection="1"/>
    <xf numFmtId="0" fontId="14" fillId="0" borderId="0" xfId="0" applyFont="1" applyProtection="1"/>
    <xf numFmtId="0" fontId="15" fillId="0" borderId="0" xfId="0" applyFont="1" applyProtection="1"/>
    <xf numFmtId="0" fontId="15" fillId="0" borderId="0" xfId="0" applyFont="1" applyFill="1" applyBorder="1" applyProtection="1"/>
    <xf numFmtId="0" fontId="14" fillId="0" borderId="0" xfId="0" applyFont="1" applyFill="1" applyBorder="1" applyProtection="1"/>
    <xf numFmtId="0" fontId="15" fillId="0" borderId="0" xfId="0" applyFont="1" applyAlignment="1" applyProtection="1">
      <alignment horizontal="right"/>
    </xf>
    <xf numFmtId="3" fontId="15" fillId="0" borderId="0" xfId="0" applyNumberFormat="1" applyFont="1" applyProtection="1"/>
    <xf numFmtId="3" fontId="15" fillId="0" borderId="0" xfId="0" applyNumberFormat="1" applyFont="1" applyAlignment="1" applyProtection="1">
      <alignment horizontal="right"/>
    </xf>
    <xf numFmtId="0" fontId="12" fillId="0" borderId="0" xfId="0" applyFont="1" applyProtection="1"/>
    <xf numFmtId="0" fontId="16" fillId="0" borderId="0" xfId="0" applyFont="1" applyProtection="1"/>
    <xf numFmtId="0" fontId="17" fillId="0" borderId="0" xfId="0" applyFont="1" applyProtection="1"/>
    <xf numFmtId="0" fontId="12" fillId="0" borderId="0" xfId="0" applyNumberFormat="1" applyFont="1" applyProtection="1"/>
    <xf numFmtId="0" fontId="0" fillId="0" borderId="0" xfId="0" applyNumberFormat="1" applyProtection="1"/>
    <xf numFmtId="0" fontId="0" fillId="2" borderId="0" xfId="0" applyNumberFormat="1" applyFill="1" applyProtection="1"/>
    <xf numFmtId="0" fontId="18" fillId="0" borderId="0" xfId="0" applyFont="1" applyProtection="1"/>
    <xf numFmtId="166" fontId="0" fillId="0" borderId="0" xfId="0" applyNumberFormat="1" applyBorder="1" applyAlignment="1" applyProtection="1">
      <alignment horizontal="center"/>
    </xf>
    <xf numFmtId="166" fontId="0" fillId="0" borderId="6" xfId="0" applyNumberFormat="1" applyBorder="1" applyAlignment="1" applyProtection="1">
      <alignment horizontal="center"/>
    </xf>
    <xf numFmtId="164" fontId="0" fillId="0" borderId="0" xfId="0" applyNumberFormat="1" applyBorder="1" applyAlignment="1" applyProtection="1">
      <alignment horizontal="center"/>
    </xf>
    <xf numFmtId="164" fontId="0" fillId="0" borderId="6" xfId="0" applyNumberFormat="1" applyBorder="1" applyAlignment="1" applyProtection="1">
      <alignment horizontal="center"/>
    </xf>
    <xf numFmtId="167" fontId="15" fillId="0" borderId="0" xfId="0" applyNumberFormat="1" applyFont="1" applyProtection="1"/>
    <xf numFmtId="0" fontId="0" fillId="0" borderId="0" xfId="0" applyNumberFormat="1" applyBorder="1" applyProtection="1"/>
    <xf numFmtId="0" fontId="0" fillId="0" borderId="6" xfId="0" applyNumberFormat="1" applyBorder="1" applyProtection="1"/>
    <xf numFmtId="0" fontId="0" fillId="0" borderId="0" xfId="0" applyNumberFormat="1" applyFill="1" applyProtection="1"/>
    <xf numFmtId="0" fontId="3" fillId="0" borderId="1" xfId="0" applyFont="1" applyBorder="1" applyAlignment="1" applyProtection="1">
      <alignment horizontal="center" vertical="center"/>
    </xf>
    <xf numFmtId="0" fontId="3" fillId="0" borderId="4" xfId="0" applyFont="1" applyBorder="1" applyAlignment="1" applyProtection="1">
      <alignment horizontal="center" vertical="center"/>
    </xf>
    <xf numFmtId="0" fontId="0" fillId="0" borderId="0" xfId="0" applyNumberFormat="1" applyFill="1" applyBorder="1" applyProtection="1"/>
    <xf numFmtId="166" fontId="0" fillId="0" borderId="0" xfId="0" applyNumberFormat="1" applyProtection="1"/>
    <xf numFmtId="9" fontId="0" fillId="0" borderId="0" xfId="0" applyNumberFormat="1" applyFill="1" applyBorder="1" applyProtection="1"/>
    <xf numFmtId="9" fontId="0" fillId="0" borderId="0" xfId="0" applyNumberFormat="1" applyBorder="1" applyProtection="1"/>
    <xf numFmtId="9" fontId="0" fillId="0" borderId="6" xfId="0" applyNumberFormat="1" applyBorder="1" applyProtection="1"/>
    <xf numFmtId="0" fontId="0" fillId="0" borderId="0" xfId="0" applyNumberFormat="1" applyFill="1" applyBorder="1" applyAlignment="1" applyProtection="1">
      <alignment horizontal="right"/>
    </xf>
    <xf numFmtId="0" fontId="0" fillId="0" borderId="6" xfId="0" applyNumberFormat="1" applyFill="1" applyBorder="1" applyAlignment="1" applyProtection="1">
      <alignment horizontal="right"/>
    </xf>
    <xf numFmtId="165" fontId="0" fillId="0" borderId="0" xfId="0" applyNumberFormat="1" applyFill="1" applyBorder="1" applyProtection="1"/>
    <xf numFmtId="167" fontId="0" fillId="0" borderId="0" xfId="0" applyNumberFormat="1" applyFill="1" applyBorder="1" applyProtection="1"/>
    <xf numFmtId="164" fontId="0" fillId="0" borderId="0" xfId="0" applyNumberFormat="1" applyFill="1" applyBorder="1" applyProtection="1"/>
    <xf numFmtId="164" fontId="3" fillId="0" borderId="0" xfId="0" applyNumberFormat="1" applyFont="1" applyBorder="1" applyProtection="1"/>
    <xf numFmtId="0" fontId="3" fillId="0" borderId="5" xfId="0" applyFont="1" applyBorder="1" applyProtection="1"/>
    <xf numFmtId="0" fontId="0" fillId="0" borderId="5" xfId="0" applyFill="1" applyBorder="1" applyProtection="1"/>
    <xf numFmtId="164" fontId="0" fillId="0" borderId="0" xfId="0" applyNumberFormat="1" applyFont="1" applyBorder="1" applyAlignment="1" applyProtection="1">
      <alignment horizontal="right"/>
    </xf>
    <xf numFmtId="0" fontId="0" fillId="0" borderId="7" xfId="0" applyFill="1" applyBorder="1" applyProtection="1"/>
    <xf numFmtId="164" fontId="0" fillId="0" borderId="2" xfId="0" applyNumberFormat="1" applyBorder="1" applyProtection="1"/>
    <xf numFmtId="164" fontId="0" fillId="0" borderId="0" xfId="0" applyNumberFormat="1" applyFont="1" applyBorder="1" applyAlignment="1" applyProtection="1"/>
    <xf numFmtId="164" fontId="0" fillId="0" borderId="0" xfId="0" applyNumberFormat="1" applyBorder="1" applyAlignment="1" applyProtection="1"/>
    <xf numFmtId="0" fontId="0" fillId="2" borderId="0" xfId="0" applyNumberFormat="1" applyFill="1" applyProtection="1">
      <protection locked="0"/>
    </xf>
    <xf numFmtId="9" fontId="0" fillId="0" borderId="1" xfId="0" applyNumberFormat="1" applyBorder="1" applyAlignment="1" applyProtection="1">
      <alignment horizontal="right"/>
    </xf>
    <xf numFmtId="0" fontId="7" fillId="0" borderId="0" xfId="0" applyFont="1" applyAlignment="1" applyProtection="1">
      <alignment horizontal="left"/>
    </xf>
    <xf numFmtId="0" fontId="7" fillId="0" borderId="0" xfId="0" applyFont="1" applyFill="1" applyBorder="1" applyAlignment="1" applyProtection="1">
      <alignment horizontal="left" vertical="center"/>
    </xf>
    <xf numFmtId="9" fontId="7" fillId="0" borderId="0" xfId="0" applyNumberFormat="1" applyFont="1" applyProtection="1"/>
    <xf numFmtId="167" fontId="7" fillId="0" borderId="0" xfId="0" applyNumberFormat="1" applyFont="1" applyProtection="1"/>
    <xf numFmtId="0" fontId="7" fillId="0" borderId="0" xfId="0" applyNumberFormat="1" applyFont="1" applyProtection="1"/>
    <xf numFmtId="164" fontId="7" fillId="0" borderId="0" xfId="0" applyNumberFormat="1" applyFont="1" applyProtection="1"/>
    <xf numFmtId="167" fontId="0" fillId="0" borderId="0" xfId="0" applyNumberFormat="1" applyFill="1" applyBorder="1" applyAlignment="1" applyProtection="1">
      <alignment horizontal="right"/>
    </xf>
    <xf numFmtId="167" fontId="0" fillId="0" borderId="6" xfId="0" applyNumberFormat="1" applyFill="1" applyBorder="1" applyAlignment="1" applyProtection="1">
      <alignment horizontal="right"/>
    </xf>
    <xf numFmtId="167" fontId="0" fillId="0" borderId="6" xfId="0" applyNumberFormat="1" applyBorder="1" applyAlignment="1" applyProtection="1">
      <alignment horizontal="right"/>
    </xf>
    <xf numFmtId="0" fontId="12" fillId="0" borderId="0" xfId="0" applyFont="1"/>
    <xf numFmtId="0" fontId="16" fillId="0" borderId="0" xfId="0" applyFont="1"/>
    <xf numFmtId="3" fontId="19" fillId="0" borderId="0" xfId="0" applyNumberFormat="1" applyFont="1" applyAlignment="1" applyProtection="1">
      <alignment horizontal="right"/>
    </xf>
    <xf numFmtId="0" fontId="19" fillId="0" borderId="0" xfId="0" applyFont="1" applyProtection="1"/>
    <xf numFmtId="0" fontId="20" fillId="0" borderId="0" xfId="0" applyFont="1" applyProtection="1"/>
    <xf numFmtId="0" fontId="21" fillId="0" borderId="0" xfId="0" applyFont="1" applyProtection="1"/>
    <xf numFmtId="164" fontId="0" fillId="0" borderId="0" xfId="0" applyNumberFormat="1" applyFill="1" applyBorder="1" applyAlignment="1" applyProtection="1">
      <alignment horizontal="center"/>
    </xf>
    <xf numFmtId="0" fontId="0" fillId="0" borderId="0" xfId="0" applyNumberFormat="1" applyFill="1" applyBorder="1" applyAlignment="1" applyProtection="1">
      <alignment horizontal="center"/>
    </xf>
    <xf numFmtId="0" fontId="0" fillId="0" borderId="6" xfId="0" applyNumberFormat="1" applyFill="1" applyBorder="1" applyAlignment="1" applyProtection="1">
      <alignment horizontal="center"/>
    </xf>
    <xf numFmtId="0" fontId="8" fillId="0" borderId="15" xfId="0" applyFont="1" applyBorder="1" applyAlignment="1">
      <alignment horizontal="center" wrapText="1"/>
    </xf>
    <xf numFmtId="0" fontId="8" fillId="0" borderId="16" xfId="0" applyFont="1" applyBorder="1" applyAlignment="1">
      <alignment horizontal="center" wrapText="1"/>
    </xf>
    <xf numFmtId="0" fontId="8" fillId="0" borderId="17" xfId="0" applyFont="1" applyBorder="1" applyAlignment="1">
      <alignment horizontal="center" wrapText="1"/>
    </xf>
    <xf numFmtId="0" fontId="8" fillId="0" borderId="18" xfId="0" applyFont="1" applyBorder="1" applyAlignment="1">
      <alignment horizontal="center" vertical="top" wrapText="1"/>
    </xf>
    <xf numFmtId="0" fontId="8" fillId="0" borderId="19" xfId="0" applyFont="1" applyBorder="1" applyAlignment="1">
      <alignment horizontal="center" vertical="top" wrapText="1"/>
    </xf>
    <xf numFmtId="0" fontId="8" fillId="0" borderId="20" xfId="0" applyFont="1" applyBorder="1" applyAlignment="1">
      <alignment horizontal="center" vertical="top" wrapText="1"/>
    </xf>
    <xf numFmtId="166" fontId="0" fillId="0" borderId="0" xfId="0" applyNumberFormat="1" applyBorder="1" applyAlignment="1" applyProtection="1">
      <alignment horizontal="center"/>
    </xf>
    <xf numFmtId="166" fontId="0" fillId="0" borderId="6" xfId="0" applyNumberFormat="1" applyBorder="1" applyAlignment="1" applyProtection="1">
      <alignment horizontal="center"/>
    </xf>
    <xf numFmtId="164" fontId="0" fillId="0" borderId="0" xfId="0" applyNumberFormat="1" applyBorder="1" applyAlignment="1" applyProtection="1">
      <alignment horizontal="center"/>
    </xf>
    <xf numFmtId="164" fontId="0" fillId="0" borderId="6" xfId="0" applyNumberFormat="1" applyBorder="1" applyAlignment="1" applyProtection="1">
      <alignment horizontal="center"/>
    </xf>
    <xf numFmtId="0" fontId="8" fillId="0" borderId="12" xfId="0" applyFont="1" applyBorder="1" applyAlignment="1">
      <alignment horizontal="center" vertical="top" wrapText="1"/>
    </xf>
    <xf numFmtId="0" fontId="8" fillId="0" borderId="13" xfId="0" applyFont="1" applyBorder="1" applyAlignment="1">
      <alignment horizontal="center" vertical="top" wrapText="1"/>
    </xf>
    <xf numFmtId="164" fontId="0" fillId="0" borderId="6" xfId="0" applyNumberFormat="1" applyFill="1" applyBorder="1" applyAlignment="1" applyProtection="1">
      <alignment horizontal="center"/>
    </xf>
    <xf numFmtId="0" fontId="8" fillId="0" borderId="9" xfId="0" applyFont="1" applyBorder="1" applyAlignment="1">
      <alignment horizontal="center" wrapText="1"/>
    </xf>
    <xf numFmtId="0" fontId="8" fillId="0" borderId="10" xfId="0" applyFont="1" applyBorder="1" applyAlignment="1">
      <alignment horizontal="center" wrapText="1"/>
    </xf>
    <xf numFmtId="0" fontId="11" fillId="0" borderId="0" xfId="0" applyFont="1" applyFill="1" applyBorder="1" applyAlignment="1" applyProtection="1">
      <alignment wrapText="1"/>
    </xf>
    <xf numFmtId="0" fontId="11" fillId="0" borderId="0" xfId="0" applyNumberFormat="1" applyFont="1" applyFill="1" applyBorder="1" applyProtection="1"/>
    <xf numFmtId="164" fontId="11" fillId="0" borderId="0" xfId="0" applyNumberFormat="1" applyFont="1" applyBorder="1" applyAlignment="1" applyProtection="1">
      <alignment vertical="center"/>
    </xf>
    <xf numFmtId="0" fontId="11" fillId="0" borderId="0" xfId="0" applyFont="1" applyBorder="1" applyProtection="1"/>
    <xf numFmtId="0" fontId="22" fillId="0" borderId="9" xfId="0" applyFont="1" applyBorder="1" applyAlignment="1" applyProtection="1">
      <alignment horizontal="center" vertical="center" wrapText="1"/>
    </xf>
    <xf numFmtId="0" fontId="22" fillId="0" borderId="10" xfId="0" applyFont="1" applyBorder="1" applyAlignment="1" applyProtection="1">
      <alignment horizontal="center" vertical="center" wrapText="1"/>
    </xf>
    <xf numFmtId="0" fontId="22" fillId="0" borderId="21" xfId="0" applyFont="1" applyBorder="1" applyAlignment="1" applyProtection="1">
      <alignment horizontal="center" vertical="center" wrapText="1"/>
    </xf>
  </cellXfs>
  <cellStyles count="1">
    <cellStyle name="Normal" xfId="0" builtinId="0"/>
  </cellStyles>
  <dxfs count="125">
    <dxf>
      <font>
        <b/>
        <i val="0"/>
      </font>
    </dxf>
    <dxf>
      <font>
        <b/>
        <i val="0"/>
      </font>
    </dxf>
    <dxf>
      <font>
        <b/>
        <i val="0"/>
        <color theme="9" tint="-0.499984740745262"/>
      </font>
    </dxf>
    <dxf>
      <font>
        <color rgb="FFC00000"/>
      </font>
    </dxf>
    <dxf>
      <font>
        <b/>
        <i val="0"/>
        <color theme="9" tint="-0.499984740745262"/>
      </font>
    </dxf>
    <dxf>
      <font>
        <color rgb="FFC00000"/>
      </font>
    </dxf>
    <dxf>
      <font>
        <color rgb="FFC00000"/>
      </font>
    </dxf>
    <dxf>
      <font>
        <b/>
        <i val="0"/>
        <color theme="9" tint="-0.499984740745262"/>
      </font>
    </dxf>
    <dxf>
      <font>
        <b/>
        <i val="0"/>
        <color theme="9" tint="-0.499984740745262"/>
      </font>
    </dxf>
    <dxf>
      <font>
        <color rgb="FFC00000"/>
      </font>
    </dxf>
    <dxf>
      <font>
        <color rgb="FFC00000"/>
      </font>
    </dxf>
    <dxf>
      <font>
        <b/>
        <i val="0"/>
        <color theme="9" tint="-0.499984740745262"/>
      </font>
    </dxf>
    <dxf>
      <font>
        <b/>
        <i val="0"/>
        <color theme="9" tint="-0.499984740745262"/>
      </font>
    </dxf>
    <dxf>
      <font>
        <color rgb="FFC00000"/>
      </font>
    </dxf>
    <dxf>
      <font>
        <color theme="0"/>
      </font>
    </dxf>
    <dxf>
      <font>
        <b/>
        <i val="0"/>
        <color theme="9" tint="-0.499984740745262"/>
      </font>
    </dxf>
    <dxf>
      <font>
        <color rgb="FFC00000"/>
      </font>
    </dxf>
    <dxf>
      <font>
        <b/>
        <i val="0"/>
        <color theme="9" tint="-0.499984740745262"/>
      </font>
    </dxf>
    <dxf>
      <font>
        <color rgb="FFC00000"/>
      </font>
    </dxf>
    <dxf>
      <font>
        <b/>
        <i val="0"/>
        <color theme="9" tint="-0.499984740745262"/>
      </font>
    </dxf>
    <dxf>
      <font>
        <color rgb="FFC00000"/>
      </font>
    </dxf>
    <dxf>
      <font>
        <color rgb="FFC00000"/>
      </font>
    </dxf>
    <dxf>
      <font>
        <b/>
        <i val="0"/>
        <color theme="9" tint="-0.499984740745262"/>
      </font>
    </dxf>
    <dxf>
      <font>
        <b/>
        <i val="0"/>
        <color theme="9" tint="-0.499984740745262"/>
      </font>
    </dxf>
    <dxf>
      <font>
        <color rgb="FFC00000"/>
      </font>
    </dxf>
    <dxf>
      <font>
        <color rgb="FFC00000"/>
      </font>
    </dxf>
    <dxf>
      <font>
        <b/>
        <i val="0"/>
        <color theme="9" tint="-0.499984740745262"/>
      </font>
    </dxf>
    <dxf>
      <font>
        <color theme="0"/>
      </font>
    </dxf>
    <dxf>
      <font>
        <color theme="0" tint="-0.499984740745262"/>
      </font>
    </dxf>
    <dxf>
      <font>
        <color theme="0"/>
      </font>
    </dxf>
    <dxf>
      <font>
        <color theme="0"/>
      </font>
    </dxf>
    <dxf>
      <font>
        <b/>
        <i val="0"/>
        <color theme="9" tint="-0.499984740745262"/>
      </font>
    </dxf>
    <dxf>
      <font>
        <color rgb="FFC00000"/>
      </font>
    </dxf>
    <dxf>
      <font>
        <b/>
        <i val="0"/>
        <color theme="9" tint="-0.499984740745262"/>
      </font>
    </dxf>
    <dxf>
      <font>
        <color rgb="FFC00000"/>
      </font>
    </dxf>
    <dxf>
      <font>
        <color rgb="FFC00000"/>
      </font>
    </dxf>
    <dxf>
      <font>
        <b/>
        <i val="0"/>
        <color theme="9" tint="-0.499984740745262"/>
      </font>
    </dxf>
    <dxf>
      <font>
        <b/>
        <i val="0"/>
        <color theme="9" tint="-0.499984740745262"/>
      </font>
    </dxf>
    <dxf>
      <font>
        <color rgb="FFC00000"/>
      </font>
    </dxf>
    <dxf>
      <font>
        <color rgb="FFC00000"/>
      </font>
    </dxf>
    <dxf>
      <font>
        <b/>
        <i val="0"/>
        <color theme="9" tint="-0.499984740745262"/>
      </font>
    </dxf>
    <dxf>
      <font>
        <b/>
        <i val="0"/>
        <color theme="9" tint="-0.499984740745262"/>
      </font>
    </dxf>
    <dxf>
      <font>
        <color rgb="FFC00000"/>
      </font>
    </dxf>
    <dxf>
      <font>
        <b/>
        <i val="0"/>
        <color theme="9" tint="-0.499984740745262"/>
      </font>
    </dxf>
    <dxf>
      <font>
        <color rgb="FFC00000"/>
      </font>
    </dxf>
    <dxf>
      <font>
        <b/>
        <i val="0"/>
        <color theme="9" tint="-0.499984740745262"/>
      </font>
    </dxf>
    <dxf>
      <font>
        <color rgb="FFC00000"/>
      </font>
    </dxf>
    <dxf>
      <font>
        <b/>
        <i val="0"/>
        <color theme="9" tint="-0.499984740745262"/>
      </font>
    </dxf>
    <dxf>
      <font>
        <color rgb="FFC00000"/>
      </font>
    </dxf>
    <dxf>
      <font>
        <color rgb="FFC00000"/>
      </font>
    </dxf>
    <dxf>
      <font>
        <b/>
        <i val="0"/>
        <color theme="9" tint="-0.499984740745262"/>
      </font>
    </dxf>
    <dxf>
      <font>
        <b/>
        <i val="0"/>
        <color theme="9" tint="-0.499984740745262"/>
      </font>
    </dxf>
    <dxf>
      <font>
        <color rgb="FFC00000"/>
      </font>
    </dxf>
    <dxf>
      <font>
        <color rgb="FFC00000"/>
      </font>
    </dxf>
    <dxf>
      <font>
        <b/>
        <i val="0"/>
        <color theme="9" tint="-0.499984740745262"/>
      </font>
    </dxf>
    <dxf>
      <font>
        <color theme="0"/>
      </font>
    </dxf>
    <dxf>
      <font>
        <color theme="0"/>
      </font>
    </dxf>
    <dxf>
      <font>
        <color theme="0"/>
      </font>
    </dxf>
    <dxf>
      <font>
        <color theme="1" tint="0.34998626667073579"/>
      </font>
      <border>
        <left style="thin">
          <color auto="1"/>
        </left>
        <right/>
        <top/>
        <bottom style="thin">
          <color auto="1"/>
        </bottom>
        <vertical/>
        <horizontal/>
      </border>
    </dxf>
    <dxf>
      <font>
        <color theme="0"/>
      </font>
      <border>
        <left/>
        <right/>
        <top/>
        <bottom/>
        <vertical/>
        <horizontal/>
      </border>
    </dxf>
    <dxf>
      <font>
        <color theme="1" tint="0.34998626667073579"/>
      </font>
      <border>
        <left/>
        <right/>
        <top/>
        <bottom style="thin">
          <color auto="1"/>
        </bottom>
        <vertical/>
        <horizontal/>
      </border>
    </dxf>
    <dxf>
      <font>
        <color theme="0"/>
      </font>
      <border>
        <left/>
        <right/>
        <top/>
        <bottom/>
        <vertical/>
        <horizontal/>
      </border>
    </dxf>
    <dxf>
      <border>
        <left/>
        <right style="thin">
          <color auto="1"/>
        </right>
        <top/>
        <bottom style="thin">
          <color auto="1"/>
        </bottom>
        <vertical/>
        <horizontal/>
      </border>
    </dxf>
    <dxf>
      <border>
        <left/>
        <right/>
        <top/>
        <bottom/>
        <vertical/>
        <horizontal/>
      </border>
    </dxf>
    <dxf>
      <border>
        <left/>
        <right style="thin">
          <color auto="1"/>
        </right>
        <top/>
        <bottom/>
        <vertical/>
        <horizontal/>
      </border>
    </dxf>
    <dxf>
      <border>
        <left/>
        <right/>
        <top style="thin">
          <color auto="1"/>
        </top>
        <bottom/>
        <vertical/>
        <horizontal/>
      </border>
    </dxf>
    <dxf>
      <border>
        <left/>
        <right/>
        <top/>
        <bottom/>
        <vertical/>
        <horizontal/>
      </border>
    </dxf>
    <dxf>
      <border>
        <left/>
        <right/>
        <top style="thin">
          <color auto="1"/>
        </top>
        <bottom/>
        <vertical/>
        <horizontal/>
      </border>
    </dxf>
    <dxf>
      <border>
        <left style="thin">
          <color auto="1"/>
        </left>
        <right/>
        <top/>
        <bottom/>
        <vertical/>
        <horizontal/>
      </border>
    </dxf>
    <dxf>
      <border>
        <left/>
        <right/>
        <top style="thin">
          <color auto="1"/>
        </top>
        <bottom/>
        <vertical/>
        <horizontal/>
      </border>
    </dxf>
    <dxf>
      <font>
        <b/>
        <i val="0"/>
      </font>
    </dxf>
    <dxf>
      <font>
        <b/>
        <i val="0"/>
      </font>
    </dxf>
    <dxf>
      <font>
        <b/>
        <i val="0"/>
        <color theme="9" tint="-0.499984740745262"/>
      </font>
    </dxf>
    <dxf>
      <font>
        <color rgb="FFC00000"/>
      </font>
    </dxf>
    <dxf>
      <font>
        <b/>
        <i val="0"/>
        <color theme="9" tint="-0.499984740745262"/>
      </font>
    </dxf>
    <dxf>
      <font>
        <color rgb="FFC00000"/>
      </font>
    </dxf>
    <dxf>
      <font>
        <color rgb="FFC00000"/>
      </font>
    </dxf>
    <dxf>
      <font>
        <b/>
        <i val="0"/>
        <color theme="9" tint="-0.499984740745262"/>
      </font>
    </dxf>
    <dxf>
      <font>
        <b/>
        <i val="0"/>
        <color theme="9" tint="-0.499984740745262"/>
      </font>
    </dxf>
    <dxf>
      <font>
        <color rgb="FFC00000"/>
      </font>
    </dxf>
    <dxf>
      <font>
        <color rgb="FFC00000"/>
      </font>
    </dxf>
    <dxf>
      <font>
        <b/>
        <i val="0"/>
        <color theme="9" tint="-0.499984740745262"/>
      </font>
    </dxf>
    <dxf>
      <font>
        <b/>
        <i val="0"/>
        <color theme="9" tint="-0.499984740745262"/>
      </font>
    </dxf>
    <dxf>
      <font>
        <color rgb="FFC00000"/>
      </font>
    </dxf>
    <dxf>
      <font>
        <color theme="0"/>
      </font>
    </dxf>
    <dxf>
      <font>
        <b/>
        <i val="0"/>
        <color theme="9" tint="-0.499984740745262"/>
      </font>
    </dxf>
    <dxf>
      <font>
        <color rgb="FFC00000"/>
      </font>
    </dxf>
    <dxf>
      <font>
        <b/>
        <i val="0"/>
        <color theme="9" tint="-0.499984740745262"/>
      </font>
    </dxf>
    <dxf>
      <font>
        <color rgb="FFC00000"/>
      </font>
    </dxf>
    <dxf>
      <font>
        <b/>
        <i val="0"/>
        <color theme="9" tint="-0.499984740745262"/>
      </font>
    </dxf>
    <dxf>
      <font>
        <color rgb="FFC00000"/>
      </font>
    </dxf>
    <dxf>
      <font>
        <color rgb="FFC00000"/>
      </font>
    </dxf>
    <dxf>
      <font>
        <b/>
        <i val="0"/>
        <color theme="9" tint="-0.499984740745262"/>
      </font>
    </dxf>
    <dxf>
      <font>
        <b/>
        <i val="0"/>
        <color theme="9" tint="-0.499984740745262"/>
      </font>
    </dxf>
    <dxf>
      <font>
        <color rgb="FFC00000"/>
      </font>
    </dxf>
    <dxf>
      <font>
        <color rgb="FFC00000"/>
      </font>
    </dxf>
    <dxf>
      <font>
        <b/>
        <i val="0"/>
        <color theme="9" tint="-0.499984740745262"/>
      </font>
    </dxf>
    <dxf>
      <font>
        <color theme="0"/>
      </font>
    </dxf>
    <dxf>
      <font>
        <color theme="0" tint="-0.499984740745262"/>
      </font>
    </dxf>
    <dxf>
      <font>
        <color theme="0"/>
      </font>
    </dxf>
    <dxf>
      <font>
        <color theme="0"/>
      </font>
    </dxf>
    <dxf>
      <font>
        <b/>
        <i val="0"/>
        <color theme="9" tint="-0.499984740745262"/>
      </font>
    </dxf>
    <dxf>
      <font>
        <color rgb="FFC00000"/>
      </font>
    </dxf>
    <dxf>
      <font>
        <b/>
        <i val="0"/>
        <color theme="9" tint="-0.499984740745262"/>
      </font>
    </dxf>
    <dxf>
      <font>
        <color rgb="FFC00000"/>
      </font>
    </dxf>
    <dxf>
      <font>
        <color rgb="FFC00000"/>
      </font>
    </dxf>
    <dxf>
      <font>
        <b/>
        <i val="0"/>
        <color theme="9" tint="-0.499984740745262"/>
      </font>
    </dxf>
    <dxf>
      <font>
        <b/>
        <i val="0"/>
        <color theme="9" tint="-0.499984740745262"/>
      </font>
    </dxf>
    <dxf>
      <font>
        <color rgb="FFC00000"/>
      </font>
    </dxf>
    <dxf>
      <font>
        <color rgb="FFC00000"/>
      </font>
    </dxf>
    <dxf>
      <font>
        <b/>
        <i val="0"/>
        <color theme="9" tint="-0.499984740745262"/>
      </font>
    </dxf>
    <dxf>
      <font>
        <b/>
        <i val="0"/>
        <color theme="9" tint="-0.499984740745262"/>
      </font>
    </dxf>
    <dxf>
      <font>
        <color rgb="FFC00000"/>
      </font>
    </dxf>
    <dxf>
      <font>
        <b/>
        <i val="0"/>
        <color theme="9" tint="-0.499984740745262"/>
      </font>
    </dxf>
    <dxf>
      <font>
        <color rgb="FFC00000"/>
      </font>
    </dxf>
    <dxf>
      <font>
        <b/>
        <i val="0"/>
        <color theme="9" tint="-0.499984740745262"/>
      </font>
    </dxf>
    <dxf>
      <font>
        <color rgb="FFC00000"/>
      </font>
    </dxf>
    <dxf>
      <font>
        <b/>
        <i val="0"/>
        <color theme="9" tint="-0.499984740745262"/>
      </font>
    </dxf>
    <dxf>
      <font>
        <color rgb="FFC00000"/>
      </font>
    </dxf>
    <dxf>
      <font>
        <color rgb="FFC00000"/>
      </font>
    </dxf>
    <dxf>
      <font>
        <b/>
        <i val="0"/>
        <color theme="9" tint="-0.499984740745262"/>
      </font>
    </dxf>
    <dxf>
      <font>
        <b/>
        <i val="0"/>
        <color theme="9" tint="-0.499984740745262"/>
      </font>
    </dxf>
    <dxf>
      <font>
        <color rgb="FFC00000"/>
      </font>
    </dxf>
    <dxf>
      <font>
        <color rgb="FFC00000"/>
      </font>
    </dxf>
    <dxf>
      <font>
        <b/>
        <i val="0"/>
        <color theme="9" tint="-0.499984740745262"/>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11</xdr:col>
      <xdr:colOff>292100</xdr:colOff>
      <xdr:row>53</xdr:row>
      <xdr:rowOff>114300</xdr:rowOff>
    </xdr:from>
    <xdr:to>
      <xdr:col>12</xdr:col>
      <xdr:colOff>381000</xdr:colOff>
      <xdr:row>56</xdr:row>
      <xdr:rowOff>73025</xdr:rowOff>
    </xdr:to>
    <xdr:sp macro="" textlink="">
      <xdr:nvSpPr>
        <xdr:cNvPr id="2" name="Arrow: Right 1">
          <a:extLst>
            <a:ext uri="{FF2B5EF4-FFF2-40B4-BE49-F238E27FC236}">
              <a16:creationId xmlns:a16="http://schemas.microsoft.com/office/drawing/2014/main" id="{01FE67A8-528C-469B-95B4-8512EFDF84EA}"/>
            </a:ext>
          </a:extLst>
        </xdr:cNvPr>
        <xdr:cNvSpPr/>
      </xdr:nvSpPr>
      <xdr:spPr>
        <a:xfrm>
          <a:off x="12393386" y="12052300"/>
          <a:ext cx="732971" cy="503011"/>
        </a:xfrm>
        <a:prstGeom prst="rightArrow">
          <a:avLst/>
        </a:prstGeom>
        <a:solidFill>
          <a:schemeClr val="bg2">
            <a:lumMod val="90000"/>
          </a:schemeClr>
        </a:solidFill>
        <a:ln w="6350">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668255</xdr:colOff>
      <xdr:row>2</xdr:row>
      <xdr:rowOff>9022</xdr:rowOff>
    </xdr:from>
    <xdr:to>
      <xdr:col>7</xdr:col>
      <xdr:colOff>704851</xdr:colOff>
      <xdr:row>8</xdr:row>
      <xdr:rowOff>94560</xdr:rowOff>
    </xdr:to>
    <xdr:sp macro="" textlink="">
      <xdr:nvSpPr>
        <xdr:cNvPr id="3" name="Speech Bubble: Rectangle with Corners Rounded 2">
          <a:extLst>
            <a:ext uri="{FF2B5EF4-FFF2-40B4-BE49-F238E27FC236}">
              <a16:creationId xmlns:a16="http://schemas.microsoft.com/office/drawing/2014/main" id="{D132E2B8-5705-4C8C-9E46-32FFA20A9E99}"/>
            </a:ext>
          </a:extLst>
        </xdr:cNvPr>
        <xdr:cNvSpPr/>
      </xdr:nvSpPr>
      <xdr:spPr>
        <a:xfrm>
          <a:off x="5087855" y="951997"/>
          <a:ext cx="2170196" cy="1228538"/>
        </a:xfrm>
        <a:prstGeom prst="wedgeRoundRectCallout">
          <a:avLst>
            <a:gd name="adj1" fmla="val -78924"/>
            <a:gd name="adj2" fmla="val -4378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ysClr val="windowText" lastClr="000000"/>
              </a:solidFill>
            </a:rPr>
            <a:t>Click in this box, then click on the down arrow and select either</a:t>
          </a:r>
          <a:r>
            <a:rPr lang="en-GB" sz="1100" baseline="0">
              <a:solidFill>
                <a:sysClr val="windowText" lastClr="000000"/>
              </a:solidFill>
            </a:rPr>
            <a:t> "Dental" or "Orthondontic"</a:t>
          </a:r>
          <a:endParaRPr lang="en-GB" sz="1100">
            <a:solidFill>
              <a:sysClr val="windowText" lastClr="000000"/>
            </a:solidFill>
          </a:endParaRPr>
        </a:p>
      </xdr:txBody>
    </xdr:sp>
    <xdr:clientData/>
  </xdr:twoCellAnchor>
  <xdr:twoCellAnchor editAs="oneCell">
    <xdr:from>
      <xdr:col>5</xdr:col>
      <xdr:colOff>544232</xdr:colOff>
      <xdr:row>8</xdr:row>
      <xdr:rowOff>141514</xdr:rowOff>
    </xdr:from>
    <xdr:to>
      <xdr:col>7</xdr:col>
      <xdr:colOff>1327680</xdr:colOff>
      <xdr:row>16</xdr:row>
      <xdr:rowOff>41003</xdr:rowOff>
    </xdr:to>
    <xdr:pic>
      <xdr:nvPicPr>
        <xdr:cNvPr id="4" name="Picture 3">
          <a:extLst>
            <a:ext uri="{FF2B5EF4-FFF2-40B4-BE49-F238E27FC236}">
              <a16:creationId xmlns:a16="http://schemas.microsoft.com/office/drawing/2014/main" id="{CCD144D1-020A-4274-B9C5-DD2CBC0A4E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78232" y="2227489"/>
          <a:ext cx="2002648" cy="1423489"/>
        </a:xfrm>
        <a:prstGeom prst="rect">
          <a:avLst/>
        </a:prstGeom>
      </xdr:spPr>
    </xdr:pic>
    <xdr:clientData/>
  </xdr:twoCellAnchor>
  <xdr:twoCellAnchor>
    <xdr:from>
      <xdr:col>5</xdr:col>
      <xdr:colOff>298450</xdr:colOff>
      <xdr:row>53</xdr:row>
      <xdr:rowOff>114300</xdr:rowOff>
    </xdr:from>
    <xdr:to>
      <xdr:col>6</xdr:col>
      <xdr:colOff>387350</xdr:colOff>
      <xdr:row>56</xdr:row>
      <xdr:rowOff>73025</xdr:rowOff>
    </xdr:to>
    <xdr:sp macro="" textlink="">
      <xdr:nvSpPr>
        <xdr:cNvPr id="5" name="Arrow: Right 4">
          <a:extLst>
            <a:ext uri="{FF2B5EF4-FFF2-40B4-BE49-F238E27FC236}">
              <a16:creationId xmlns:a16="http://schemas.microsoft.com/office/drawing/2014/main" id="{037B59AF-3A8F-44A4-9113-E750B2E57E02}"/>
            </a:ext>
          </a:extLst>
        </xdr:cNvPr>
        <xdr:cNvSpPr/>
      </xdr:nvSpPr>
      <xdr:spPr>
        <a:xfrm>
          <a:off x="5904593" y="12052300"/>
          <a:ext cx="732971" cy="503011"/>
        </a:xfrm>
        <a:prstGeom prst="rightArrow">
          <a:avLst/>
        </a:prstGeom>
        <a:solidFill>
          <a:schemeClr val="bg2">
            <a:lumMod val="90000"/>
          </a:schemeClr>
        </a:solidFill>
        <a:ln w="6350">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292100</xdr:colOff>
      <xdr:row>47</xdr:row>
      <xdr:rowOff>114300</xdr:rowOff>
    </xdr:from>
    <xdr:to>
      <xdr:col>12</xdr:col>
      <xdr:colOff>381000</xdr:colOff>
      <xdr:row>50</xdr:row>
      <xdr:rowOff>73025</xdr:rowOff>
    </xdr:to>
    <xdr:sp macro="" textlink="">
      <xdr:nvSpPr>
        <xdr:cNvPr id="2" name="Arrow: Right 1">
          <a:extLst>
            <a:ext uri="{FF2B5EF4-FFF2-40B4-BE49-F238E27FC236}">
              <a16:creationId xmlns:a16="http://schemas.microsoft.com/office/drawing/2014/main" id="{BE341717-9695-438D-9E7A-A14B6D84E5B1}"/>
            </a:ext>
          </a:extLst>
        </xdr:cNvPr>
        <xdr:cNvSpPr/>
      </xdr:nvSpPr>
      <xdr:spPr>
        <a:xfrm>
          <a:off x="12393386" y="3434443"/>
          <a:ext cx="732971" cy="503011"/>
        </a:xfrm>
        <a:prstGeom prst="rightArrow">
          <a:avLst/>
        </a:prstGeom>
        <a:solidFill>
          <a:schemeClr val="bg2">
            <a:lumMod val="90000"/>
          </a:schemeClr>
        </a:solidFill>
        <a:ln w="6350">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668255</xdr:colOff>
      <xdr:row>1</xdr:row>
      <xdr:rowOff>142372</xdr:rowOff>
    </xdr:from>
    <xdr:to>
      <xdr:col>7</xdr:col>
      <xdr:colOff>704851</xdr:colOff>
      <xdr:row>5</xdr:row>
      <xdr:rowOff>94560</xdr:rowOff>
    </xdr:to>
    <xdr:sp macro="" textlink="">
      <xdr:nvSpPr>
        <xdr:cNvPr id="3" name="Speech Bubble: Rectangle with Corners Rounded 2">
          <a:extLst>
            <a:ext uri="{FF2B5EF4-FFF2-40B4-BE49-F238E27FC236}">
              <a16:creationId xmlns:a16="http://schemas.microsoft.com/office/drawing/2014/main" id="{B42A9C1C-7A65-41FF-B794-5C1B450ABAFA}"/>
            </a:ext>
          </a:extLst>
        </xdr:cNvPr>
        <xdr:cNvSpPr/>
      </xdr:nvSpPr>
      <xdr:spPr>
        <a:xfrm>
          <a:off x="5303755" y="377322"/>
          <a:ext cx="2278146" cy="688788"/>
        </a:xfrm>
        <a:prstGeom prst="wedgeRoundRectCallout">
          <a:avLst>
            <a:gd name="adj1" fmla="val -76291"/>
            <a:gd name="adj2" fmla="val -2905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ysClr val="windowText" lastClr="000000"/>
              </a:solidFill>
            </a:rPr>
            <a:t>Click in this box, then click on the down arrow and select either</a:t>
          </a:r>
          <a:r>
            <a:rPr lang="en-GB" sz="1100" baseline="0">
              <a:solidFill>
                <a:sysClr val="windowText" lastClr="000000"/>
              </a:solidFill>
            </a:rPr>
            <a:t> "Dental" or "Orthondontic"</a:t>
          </a:r>
          <a:endParaRPr lang="en-GB" sz="1100">
            <a:solidFill>
              <a:sysClr val="windowText" lastClr="000000"/>
            </a:solidFill>
          </a:endParaRPr>
        </a:p>
      </xdr:txBody>
    </xdr:sp>
    <xdr:clientData/>
  </xdr:twoCellAnchor>
  <xdr:twoCellAnchor editAs="oneCell">
    <xdr:from>
      <xdr:col>14</xdr:col>
      <xdr:colOff>328333</xdr:colOff>
      <xdr:row>0</xdr:row>
      <xdr:rowOff>0</xdr:rowOff>
    </xdr:from>
    <xdr:to>
      <xdr:col>16</xdr:col>
      <xdr:colOff>476782</xdr:colOff>
      <xdr:row>151</xdr:row>
      <xdr:rowOff>71846</xdr:rowOff>
    </xdr:to>
    <xdr:pic>
      <xdr:nvPicPr>
        <xdr:cNvPr id="4" name="Picture 3">
          <a:extLst>
            <a:ext uri="{FF2B5EF4-FFF2-40B4-BE49-F238E27FC236}">
              <a16:creationId xmlns:a16="http://schemas.microsoft.com/office/drawing/2014/main" id="{E0AB1C1B-C8BB-4CD5-8F03-2DFA74AE95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71583" y="0"/>
          <a:ext cx="2066149" cy="1375410"/>
        </a:xfrm>
        <a:prstGeom prst="rect">
          <a:avLst/>
        </a:prstGeom>
      </xdr:spPr>
    </xdr:pic>
    <xdr:clientData/>
  </xdr:twoCellAnchor>
  <xdr:twoCellAnchor>
    <xdr:from>
      <xdr:col>5</xdr:col>
      <xdr:colOff>298450</xdr:colOff>
      <xdr:row>47</xdr:row>
      <xdr:rowOff>114300</xdr:rowOff>
    </xdr:from>
    <xdr:to>
      <xdr:col>6</xdr:col>
      <xdr:colOff>387350</xdr:colOff>
      <xdr:row>50</xdr:row>
      <xdr:rowOff>73025</xdr:rowOff>
    </xdr:to>
    <xdr:sp macro="" textlink="">
      <xdr:nvSpPr>
        <xdr:cNvPr id="5" name="Arrow: Right 4">
          <a:extLst>
            <a:ext uri="{FF2B5EF4-FFF2-40B4-BE49-F238E27FC236}">
              <a16:creationId xmlns:a16="http://schemas.microsoft.com/office/drawing/2014/main" id="{79A96260-839C-4855-A545-2FD2B8C0839D}"/>
            </a:ext>
          </a:extLst>
        </xdr:cNvPr>
        <xdr:cNvSpPr/>
      </xdr:nvSpPr>
      <xdr:spPr>
        <a:xfrm>
          <a:off x="5904593" y="3434443"/>
          <a:ext cx="732971" cy="503011"/>
        </a:xfrm>
        <a:prstGeom prst="rightArrow">
          <a:avLst/>
        </a:prstGeom>
        <a:solidFill>
          <a:schemeClr val="bg2">
            <a:lumMod val="90000"/>
          </a:schemeClr>
        </a:solidFill>
        <a:ln w="6350">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8B634-C83F-4A2F-88B7-99A82D2586DE}">
  <sheetPr codeName="Sheet1"/>
  <dimension ref="B1:Y142"/>
  <sheetViews>
    <sheetView tabSelected="1" zoomScaleNormal="100" workbookViewId="0">
      <selection activeCell="C6" sqref="C6"/>
    </sheetView>
  </sheetViews>
  <sheetFormatPr defaultColWidth="9.140625" defaultRowHeight="15" x14ac:dyDescent="0.25"/>
  <cols>
    <col min="1" max="1" width="5.140625" style="3" customWidth="1"/>
    <col min="2" max="2" width="33.7109375" style="3" customWidth="1"/>
    <col min="3" max="5" width="13.7109375" style="3" customWidth="1"/>
    <col min="6" max="7" width="9.140625" style="3"/>
    <col min="8" max="8" width="33.7109375" style="3" customWidth="1"/>
    <col min="9" max="17" width="13.7109375" style="3" customWidth="1"/>
    <col min="18" max="18" width="13.7109375" style="52" customWidth="1"/>
    <col min="19" max="19" width="9.140625" style="52" customWidth="1"/>
    <col min="20" max="20" width="10.85546875" style="121" customWidth="1"/>
    <col min="21" max="21" width="5.85546875" style="43" bestFit="1" customWidth="1"/>
    <col min="22" max="24" width="9.140625" style="52"/>
    <col min="25" max="16384" width="9.140625" style="3"/>
  </cols>
  <sheetData>
    <row r="1" spans="2:21" ht="19.5" thickBot="1" x14ac:dyDescent="0.35">
      <c r="B1" s="48" t="s">
        <v>29</v>
      </c>
      <c r="E1" s="52"/>
      <c r="N1" s="63"/>
    </row>
    <row r="2" spans="2:21" ht="55.5" customHeight="1" thickBot="1" x14ac:dyDescent="0.3">
      <c r="B2" s="158" t="s">
        <v>108</v>
      </c>
      <c r="C2" s="159"/>
      <c r="D2" s="159"/>
      <c r="E2" s="160"/>
    </row>
    <row r="3" spans="2:21" x14ac:dyDescent="0.25">
      <c r="B3" s="3" t="s">
        <v>41</v>
      </c>
      <c r="D3" s="44" t="s">
        <v>24</v>
      </c>
      <c r="E3" s="43" t="s">
        <v>24</v>
      </c>
      <c r="F3" s="51">
        <f>IF(AND(C5&lt;&gt;"",C6&lt;&gt;"",C12&lt;&gt;"",D12&lt;&gt;"",E12&lt;&gt;""),1,0)</f>
        <v>0</v>
      </c>
      <c r="G3" s="51"/>
      <c r="H3" s="51"/>
      <c r="I3" s="51"/>
      <c r="J3" s="51"/>
      <c r="K3" s="51"/>
      <c r="L3" s="51"/>
      <c r="M3" s="51">
        <f>IF(AND(C5&lt;&gt;"",C6&lt;&gt;"",C12&lt;&gt;""),1,0)</f>
        <v>0</v>
      </c>
      <c r="T3" s="121" t="s">
        <v>43</v>
      </c>
      <c r="U3" s="43">
        <v>0.85</v>
      </c>
    </row>
    <row r="4" spans="2:21" x14ac:dyDescent="0.25">
      <c r="E4" s="43" t="s">
        <v>25</v>
      </c>
      <c r="M4" s="51">
        <f>IF(AND(C5&lt;&gt;"",C6&lt;&gt;"",D12&lt;&gt;""),1,0)</f>
        <v>0</v>
      </c>
      <c r="T4" s="121" t="s">
        <v>44</v>
      </c>
      <c r="U4" s="43">
        <v>0.75</v>
      </c>
    </row>
    <row r="5" spans="2:21" x14ac:dyDescent="0.25">
      <c r="B5" s="3" t="str">
        <f>"Practice annual "&amp;dunit&amp;" target"</f>
        <v>Practice annual UDA target</v>
      </c>
      <c r="C5" s="1"/>
      <c r="E5" s="43" t="str">
        <f>IF(D3=E4,"UOA","UDA")</f>
        <v>UDA</v>
      </c>
      <c r="M5" s="51">
        <f>IF(AND(C5&lt;&gt;"",C6&lt;&gt;"",E12&lt;&gt;""),1,0)</f>
        <v>0</v>
      </c>
      <c r="T5" s="121" t="s">
        <v>45</v>
      </c>
      <c r="U5" s="43">
        <v>0.9</v>
      </c>
    </row>
    <row r="6" spans="2:21" x14ac:dyDescent="0.25">
      <c r="B6" s="3" t="s">
        <v>0</v>
      </c>
      <c r="C6" s="2"/>
      <c r="I6" s="26"/>
      <c r="T6" s="121" t="s">
        <v>46</v>
      </c>
      <c r="U6" s="43">
        <v>0.85</v>
      </c>
    </row>
    <row r="7" spans="2:21" x14ac:dyDescent="0.25">
      <c r="B7" s="3" t="str">
        <f>"Practice "&amp;dunit&amp;" value"</f>
        <v>Practice UDA value</v>
      </c>
      <c r="C7" s="9" t="str">
        <f>IF(AND(C5&lt;&gt;"",C6&lt;&gt;""),C6/C5,"")</f>
        <v/>
      </c>
      <c r="I7" s="26"/>
      <c r="U7" s="43">
        <f>IF($D$3=$E$3,dl,ol)</f>
        <v>0.75</v>
      </c>
    </row>
    <row r="8" spans="2:21" x14ac:dyDescent="0.25">
      <c r="B8" s="3" t="str">
        <f>dunit&amp;" carry forward from 2020-2021"</f>
        <v>UDA carry forward from 2020-2021</v>
      </c>
      <c r="C8" s="119"/>
    </row>
    <row r="9" spans="2:21" x14ac:dyDescent="0.25">
      <c r="C9" s="98"/>
    </row>
    <row r="10" spans="2:21" x14ac:dyDescent="0.25">
      <c r="B10" s="22"/>
      <c r="C10" s="99" t="s">
        <v>2</v>
      </c>
      <c r="D10" s="99" t="s">
        <v>6</v>
      </c>
      <c r="E10" s="100" t="s">
        <v>7</v>
      </c>
    </row>
    <row r="11" spans="2:21" x14ac:dyDescent="0.25">
      <c r="B11" s="17" t="str">
        <f>"Normal practice "&amp;dunit&amp;" target"</f>
        <v>Normal practice UDA target</v>
      </c>
      <c r="C11" s="55" t="str">
        <f>IF($C$5&lt;&gt;"",$C$5/2,"")</f>
        <v/>
      </c>
      <c r="D11" s="59" t="str">
        <f>IF($C$5&lt;&gt;"",$C$5/4,"")</f>
        <v/>
      </c>
      <c r="E11" s="60" t="str">
        <f>IF($C$5&lt;&gt;"",$C$5/4,"")</f>
        <v/>
      </c>
    </row>
    <row r="12" spans="2:21" x14ac:dyDescent="0.25">
      <c r="B12" s="17" t="str">
        <f>"Practice "&amp;dunit&amp;" performance"</f>
        <v>Practice UDA performance</v>
      </c>
      <c r="C12" s="53"/>
      <c r="D12" s="53"/>
      <c r="E12" s="54"/>
    </row>
    <row r="13" spans="2:21" x14ac:dyDescent="0.25">
      <c r="B13" s="17" t="str">
        <f>"Percentage "&amp;dunit&amp;" before adjustments"</f>
        <v>Percentage UDA before adjustments</v>
      </c>
      <c r="C13" s="103" t="str">
        <f>C50</f>
        <v/>
      </c>
      <c r="D13" s="104" t="str">
        <f>D50</f>
        <v/>
      </c>
      <c r="E13" s="105" t="str">
        <f>E50</f>
        <v/>
      </c>
    </row>
    <row r="14" spans="2:21" x14ac:dyDescent="0.25">
      <c r="B14" s="17"/>
      <c r="C14" s="101"/>
      <c r="D14" s="26"/>
      <c r="E14" s="27"/>
    </row>
    <row r="15" spans="2:21" x14ac:dyDescent="0.25">
      <c r="B15" s="17" t="str">
        <f>dunit&amp;"s added from carry forward"</f>
        <v>UDAs added from carry forward</v>
      </c>
      <c r="C15" s="127" t="str">
        <f>IF(AND(cdtb,C8&lt;&gt;0),IF(AND(C8,D8,G18),C75+C84+C90+C97,"n/a"),"")</f>
        <v/>
      </c>
      <c r="D15" s="127" t="str">
        <f>IF(AND(cdtc,C8&lt;&gt;0),IF(AND(C8,D8,G18),D76+D85+D91+D97,"n/a"),"")</f>
        <v/>
      </c>
      <c r="E15" s="128" t="str">
        <f>IF(AND(cdtd,C8&lt;&gt;0),IF(AND(C8,D8,G18),E77+E86+E92+E97,"n/a"),"")</f>
        <v/>
      </c>
    </row>
    <row r="16" spans="2:21" x14ac:dyDescent="0.25">
      <c r="B16" s="17" t="str">
        <f>"Adjustments to "&amp;dunit&amp;" from offsetting"</f>
        <v>Adjustments to UDA from offsetting</v>
      </c>
      <c r="C16" s="127" t="str">
        <f>IF(cdtb,IF($P70&lt;&gt;0,O58,"n/a"),"")</f>
        <v/>
      </c>
      <c r="D16" s="127" t="str">
        <f>IF(cdtc,IF($P70&lt;&gt;0,P58,"n/a"),"")</f>
        <v/>
      </c>
      <c r="E16" s="129" t="str">
        <f>IF(cdtd,IF($P70&lt;&gt;0,Q58,"n/a"),"")</f>
        <v/>
      </c>
    </row>
    <row r="17" spans="2:7" x14ac:dyDescent="0.25">
      <c r="B17" s="17" t="str">
        <f>"Udjusted "&amp;dunit&amp;" performance"</f>
        <v>Udjusted UDA performance</v>
      </c>
      <c r="C17" s="109" t="str">
        <f>IF(cdtb,O49,"")</f>
        <v/>
      </c>
      <c r="D17" s="57" t="str">
        <f>IF(cdtc,P49,"")</f>
        <v/>
      </c>
      <c r="E17" s="58" t="str">
        <f>IF(cdtd,Q49,"")</f>
        <v/>
      </c>
    </row>
    <row r="18" spans="2:7" x14ac:dyDescent="0.25">
      <c r="B18" s="17" t="s">
        <v>95</v>
      </c>
      <c r="C18" s="103" t="str">
        <f>O50</f>
        <v/>
      </c>
      <c r="D18" s="104" t="str">
        <f t="shared" ref="D18:E18" si="0">P50</f>
        <v/>
      </c>
      <c r="E18" s="105" t="str">
        <f t="shared" si="0"/>
        <v/>
      </c>
      <c r="G18" s="3" t="s">
        <v>107</v>
      </c>
    </row>
    <row r="19" spans="2:7" x14ac:dyDescent="0.25">
      <c r="B19" s="17"/>
      <c r="C19" s="101"/>
      <c r="D19" s="26"/>
      <c r="E19" s="27"/>
    </row>
    <row r="20" spans="2:7" x14ac:dyDescent="0.25">
      <c r="B20" s="22" t="s">
        <v>4</v>
      </c>
      <c r="C20" s="120">
        <f t="shared" ref="C20:E23" si="1">O53</f>
        <v>0.6</v>
      </c>
      <c r="D20" s="120">
        <f t="shared" si="1"/>
        <v>0.65</v>
      </c>
      <c r="E20" s="61">
        <f t="shared" si="1"/>
        <v>0.85</v>
      </c>
    </row>
    <row r="21" spans="2:7" x14ac:dyDescent="0.25">
      <c r="B21" s="24" t="s">
        <v>5</v>
      </c>
      <c r="C21" s="7" t="str">
        <f t="shared" si="1"/>
        <v/>
      </c>
      <c r="D21" s="7" t="str">
        <f t="shared" si="1"/>
        <v/>
      </c>
      <c r="E21" s="25" t="str">
        <f t="shared" si="1"/>
        <v/>
      </c>
    </row>
    <row r="22" spans="2:7" x14ac:dyDescent="0.25">
      <c r="B22" s="22" t="s">
        <v>3</v>
      </c>
      <c r="C22" s="120">
        <f t="shared" si="1"/>
        <v>0.36</v>
      </c>
      <c r="D22" s="120">
        <f t="shared" si="1"/>
        <v>0.52</v>
      </c>
      <c r="E22" s="61">
        <f t="shared" si="1"/>
        <v>0.75</v>
      </c>
    </row>
    <row r="23" spans="2:7" x14ac:dyDescent="0.25">
      <c r="B23" s="24" t="s">
        <v>5</v>
      </c>
      <c r="C23" s="7" t="str">
        <f t="shared" si="1"/>
        <v/>
      </c>
      <c r="D23" s="7" t="str">
        <f t="shared" si="1"/>
        <v/>
      </c>
      <c r="E23" s="25" t="str">
        <f t="shared" si="1"/>
        <v/>
      </c>
    </row>
    <row r="24" spans="2:7" x14ac:dyDescent="0.25">
      <c r="B24" s="17"/>
      <c r="C24" s="101"/>
      <c r="D24" s="26"/>
      <c r="E24" s="27"/>
    </row>
    <row r="25" spans="2:7" x14ac:dyDescent="0.25">
      <c r="B25" s="17" t="str">
        <f>""&amp;dunit&amp;"s to clawback"</f>
        <v>UDAs to clawback</v>
      </c>
      <c r="C25" s="101" t="str">
        <f>O60</f>
        <v/>
      </c>
      <c r="D25" s="26" t="str">
        <f t="shared" ref="D25:E25" si="2">P60</f>
        <v/>
      </c>
      <c r="E25" s="27" t="str">
        <f t="shared" si="2"/>
        <v/>
      </c>
    </row>
    <row r="26" spans="2:7" x14ac:dyDescent="0.25">
      <c r="B26" s="17" t="s">
        <v>9</v>
      </c>
      <c r="C26" s="108" t="str">
        <f t="shared" ref="C26:E26" si="3">O61</f>
        <v/>
      </c>
      <c r="D26" s="42" t="str">
        <f t="shared" si="3"/>
        <v/>
      </c>
      <c r="E26" s="67" t="str">
        <f t="shared" si="3"/>
        <v/>
      </c>
    </row>
    <row r="27" spans="2:7" x14ac:dyDescent="0.25">
      <c r="B27" s="17" t="str">
        <f>""&amp;dunit&amp;"s subject to adjustment"</f>
        <v>UDAs subject to adjustment</v>
      </c>
      <c r="C27" s="109" t="str">
        <f t="shared" ref="C27:E27" si="4">O62</f>
        <v/>
      </c>
      <c r="D27" s="57" t="str">
        <f t="shared" si="4"/>
        <v/>
      </c>
      <c r="E27" s="58" t="str">
        <f t="shared" si="4"/>
        <v/>
      </c>
    </row>
    <row r="28" spans="2:7" x14ac:dyDescent="0.25">
      <c r="B28" s="17" t="s">
        <v>10</v>
      </c>
      <c r="C28" s="108" t="str">
        <f t="shared" ref="C28:E28" si="5">O63</f>
        <v/>
      </c>
      <c r="D28" s="42" t="str">
        <f t="shared" si="5"/>
        <v/>
      </c>
      <c r="E28" s="67" t="str">
        <f t="shared" si="5"/>
        <v/>
      </c>
    </row>
    <row r="29" spans="2:7" x14ac:dyDescent="0.25">
      <c r="B29" s="17" t="s">
        <v>51</v>
      </c>
      <c r="C29" s="108" t="str">
        <f t="shared" ref="C29:E29" si="6">O64</f>
        <v/>
      </c>
      <c r="D29" s="42" t="str">
        <f t="shared" si="6"/>
        <v/>
      </c>
      <c r="E29" s="67" t="str">
        <f t="shared" si="6"/>
        <v/>
      </c>
    </row>
    <row r="30" spans="2:7" x14ac:dyDescent="0.25">
      <c r="B30" s="17" t="s">
        <v>1</v>
      </c>
      <c r="C30" s="110" t="str">
        <f t="shared" ref="C30:E30" si="7">O65</f>
        <v/>
      </c>
      <c r="D30" s="34" t="str">
        <f t="shared" si="7"/>
        <v/>
      </c>
      <c r="E30" s="35" t="str">
        <f t="shared" si="7"/>
        <v/>
      </c>
    </row>
    <row r="31" spans="2:7" x14ac:dyDescent="0.25">
      <c r="B31" s="17" t="str">
        <f>"Total "&amp;dunit&amp;"s performed and paid for"</f>
        <v>Total UDAs performed and paid for</v>
      </c>
      <c r="C31" s="136" t="str">
        <f>O66</f>
        <v/>
      </c>
      <c r="D31" s="137"/>
      <c r="E31" s="138"/>
    </row>
    <row r="32" spans="2:7" x14ac:dyDescent="0.25">
      <c r="B32" s="17" t="s">
        <v>68</v>
      </c>
      <c r="C32" s="101"/>
      <c r="D32" s="34" t="str">
        <f>P67</f>
        <v/>
      </c>
      <c r="E32" s="27"/>
    </row>
    <row r="33" spans="2:21" x14ac:dyDescent="0.25">
      <c r="B33" s="112" t="s">
        <v>11</v>
      </c>
      <c r="C33" s="101"/>
      <c r="D33" s="111" t="str">
        <f>P68</f>
        <v/>
      </c>
      <c r="E33" s="27"/>
    </row>
    <row r="34" spans="2:21" x14ac:dyDescent="0.25">
      <c r="B34" s="112"/>
      <c r="C34" s="101"/>
      <c r="D34" s="111"/>
      <c r="E34" s="27"/>
    </row>
    <row r="35" spans="2:21" x14ac:dyDescent="0.25">
      <c r="B35" s="113" t="s">
        <v>98</v>
      </c>
      <c r="C35" s="101"/>
      <c r="D35" s="117" t="str">
        <f>IF(cdt,IF((P68-J68)&gt;0,P68-J68,"No offsetting"),"")</f>
        <v/>
      </c>
      <c r="E35" s="27"/>
    </row>
    <row r="36" spans="2:21" x14ac:dyDescent="0.25">
      <c r="B36" s="113" t="s">
        <v>99</v>
      </c>
      <c r="C36" s="26"/>
      <c r="D36" s="118" t="str">
        <f>IF(cdt,IF((J68-D68)&gt;0,J68-D68,"No carry forward"),"")</f>
        <v/>
      </c>
      <c r="E36" s="27"/>
    </row>
    <row r="37" spans="2:21" x14ac:dyDescent="0.25">
      <c r="B37" s="26"/>
      <c r="C37" s="101"/>
      <c r="D37" s="26"/>
      <c r="E37" s="26"/>
    </row>
    <row r="38" spans="2:21" ht="29.45" customHeight="1" x14ac:dyDescent="0.25">
      <c r="B38" s="154" t="s">
        <v>100</v>
      </c>
      <c r="C38" s="155"/>
      <c r="D38" s="156" t="str">
        <f>IF(cdt,-'with equal carry forward'!P62+'NHS offset calculator'!P68,"")</f>
        <v/>
      </c>
      <c r="E38" s="157"/>
      <c r="P38" s="3" t="s">
        <v>101</v>
      </c>
    </row>
    <row r="39" spans="2:21" ht="15.75" thickBot="1" x14ac:dyDescent="0.3">
      <c r="U39" s="43" t="b">
        <f>IF(D3="Orthodontic",1)</f>
        <v>0</v>
      </c>
    </row>
    <row r="40" spans="2:21" ht="51" customHeight="1" thickTop="1" thickBot="1" x14ac:dyDescent="0.3">
      <c r="B40" s="139" t="s">
        <v>28</v>
      </c>
      <c r="C40" s="140"/>
      <c r="D40" s="140"/>
      <c r="E40" s="141"/>
      <c r="F40" s="68"/>
      <c r="G40" s="68"/>
      <c r="H40" s="68"/>
      <c r="I40" s="68"/>
      <c r="J40" s="68"/>
      <c r="K40" s="68"/>
      <c r="L40" s="68"/>
      <c r="M40" s="68"/>
      <c r="N40" s="68"/>
    </row>
    <row r="41" spans="2:21" ht="16.5" thickTop="1" thickBot="1" x14ac:dyDescent="0.3">
      <c r="B41" s="26"/>
      <c r="C41" s="26"/>
      <c r="D41" s="26"/>
      <c r="E41" s="26"/>
      <c r="F41" s="26"/>
      <c r="G41" s="26"/>
      <c r="H41" s="26"/>
      <c r="I41" s="26"/>
    </row>
    <row r="42" spans="2:21" ht="138.75" customHeight="1" thickTop="1" thickBot="1" x14ac:dyDescent="0.3">
      <c r="B42" s="142" t="s">
        <v>67</v>
      </c>
      <c r="C42" s="143"/>
      <c r="D42" s="143"/>
      <c r="E42" s="144"/>
      <c r="F42" s="70"/>
      <c r="G42" s="70"/>
      <c r="H42" s="70"/>
      <c r="I42" s="70"/>
      <c r="J42" s="70"/>
      <c r="K42" s="70"/>
      <c r="L42" s="70"/>
      <c r="M42" s="70"/>
      <c r="N42" s="70"/>
    </row>
    <row r="43" spans="2:21" ht="15.75" thickTop="1" x14ac:dyDescent="0.25"/>
    <row r="44" spans="2:21" hidden="1" x14ac:dyDescent="0.25"/>
    <row r="45" spans="2:21" hidden="1" x14ac:dyDescent="0.25"/>
    <row r="46" spans="2:21" hidden="1" x14ac:dyDescent="0.25">
      <c r="B46" s="15" t="s">
        <v>8</v>
      </c>
      <c r="C46" s="4"/>
      <c r="D46" s="4"/>
      <c r="E46" s="16"/>
      <c r="H46" s="15" t="s">
        <v>90</v>
      </c>
      <c r="I46" s="4"/>
      <c r="J46" s="4"/>
      <c r="K46" s="16"/>
      <c r="N46" s="15" t="s">
        <v>12</v>
      </c>
      <c r="O46" s="4"/>
      <c r="P46" s="4"/>
      <c r="Q46" s="16"/>
      <c r="T46" s="121" t="s">
        <v>47</v>
      </c>
      <c r="U46" s="43" t="e">
        <f>IF((E12/E48)&lt;lowerthresh,E12,IF((E12/E48)&lt;E53,E12/0.85,IF(E12/E48&gt;1,E12,E48)))</f>
        <v>#VALUE!</v>
      </c>
    </row>
    <row r="47" spans="2:21" hidden="1" x14ac:dyDescent="0.25">
      <c r="B47" s="17"/>
      <c r="C47" s="18" t="s">
        <v>2</v>
      </c>
      <c r="D47" s="18" t="s">
        <v>6</v>
      </c>
      <c r="E47" s="19" t="s">
        <v>7</v>
      </c>
      <c r="H47" s="17"/>
      <c r="I47" s="18" t="s">
        <v>2</v>
      </c>
      <c r="J47" s="18" t="s">
        <v>6</v>
      </c>
      <c r="K47" s="19" t="s">
        <v>7</v>
      </c>
      <c r="N47" s="17"/>
      <c r="O47" s="18" t="s">
        <v>2</v>
      </c>
      <c r="P47" s="18" t="s">
        <v>6</v>
      </c>
      <c r="Q47" s="19" t="s">
        <v>7</v>
      </c>
      <c r="T47" s="122" t="s">
        <v>48</v>
      </c>
      <c r="U47" s="43" t="e">
        <f>IF((E12/E48)&lt;lowerthresh,E12,IF((E12/E48)&lt;E53,E12*(2*E50-0.8),IF(E12/E48&gt;1,E12,E48)))</f>
        <v>#VALUE!</v>
      </c>
    </row>
    <row r="48" spans="2:21" hidden="1" x14ac:dyDescent="0.25">
      <c r="B48" s="17" t="str">
        <f>"Normal practice "&amp;dunit&amp;" target"</f>
        <v>Normal practice UDA target</v>
      </c>
      <c r="C48" s="59" t="str">
        <f>IF($C$5&lt;&gt;"",$C$5/2,"")</f>
        <v/>
      </c>
      <c r="D48" s="59" t="str">
        <f>IF($C$5&lt;&gt;"",$C$5/4,"")</f>
        <v/>
      </c>
      <c r="E48" s="60" t="str">
        <f>IF($C$5&lt;&gt;"",$C$5/4,"")</f>
        <v/>
      </c>
      <c r="H48" s="17" t="str">
        <f>"Normal practice "&amp;dunit&amp;" target"</f>
        <v>Normal practice UDA target</v>
      </c>
      <c r="I48" s="59" t="str">
        <f>IF($C$5&lt;&gt;"",$C$5/2,"")</f>
        <v/>
      </c>
      <c r="J48" s="59" t="str">
        <f>IF($C$5&lt;&gt;"",$C$5/4,"")</f>
        <v/>
      </c>
      <c r="K48" s="60" t="str">
        <f>IF($C$5&lt;&gt;"",$C$5/4,"")</f>
        <v/>
      </c>
      <c r="N48" s="62" t="str">
        <f>"Normal practice "&amp;dunit&amp;" target"</f>
        <v>Normal practice UDA target</v>
      </c>
      <c r="O48" s="59" t="str">
        <f>IF($C$5&lt;&gt;"",$C$5/2,"")</f>
        <v/>
      </c>
      <c r="P48" s="59" t="str">
        <f>IF($C$5&lt;&gt;"",$C$5/4,"")</f>
        <v/>
      </c>
      <c r="Q48" s="60" t="str">
        <f>IF($C$5&lt;&gt;"",$C$5/4,"")</f>
        <v/>
      </c>
      <c r="U48" s="123" t="e">
        <f>U47/E48</f>
        <v>#VALUE!</v>
      </c>
    </row>
    <row r="49" spans="2:25" hidden="1" x14ac:dyDescent="0.25">
      <c r="B49" s="17" t="str">
        <f>"Practice "&amp;dunit&amp;" performance"</f>
        <v>Practice UDA performance</v>
      </c>
      <c r="C49" s="102">
        <f>C12</f>
        <v>0</v>
      </c>
      <c r="D49" s="102">
        <f>D12</f>
        <v>0</v>
      </c>
      <c r="E49" s="60">
        <f>E12</f>
        <v>0</v>
      </c>
      <c r="F49" s="39"/>
      <c r="G49" s="39"/>
      <c r="H49" s="17" t="str">
        <f>"Practice "&amp;dunit&amp;" performance with C/F"</f>
        <v>Practice UDA performance with C/F</v>
      </c>
      <c r="I49" s="59" t="e">
        <f>C12+C75+C84+C90+C97</f>
        <v>#VALUE!</v>
      </c>
      <c r="J49" s="59" t="e">
        <f>D12+D76+D85+D91+D97</f>
        <v>#VALUE!</v>
      </c>
      <c r="K49" s="60" t="e">
        <f>E12+E77+E86+E92+E97</f>
        <v>#VALUE!</v>
      </c>
      <c r="L49" s="39"/>
      <c r="N49" s="17" t="str">
        <f>"Adjusted practice "&amp;dunit&amp;" performance"</f>
        <v>Adjusted practice UDA performance</v>
      </c>
      <c r="O49" s="55" t="e">
        <f>IF(I49&lt;&gt;"",I49+O58,"")</f>
        <v>#VALUE!</v>
      </c>
      <c r="P49" s="55" t="e">
        <f>IF(J49&lt;&gt;"",J49+P58,"")</f>
        <v>#VALUE!</v>
      </c>
      <c r="Q49" s="56" t="e">
        <f>IF(13&lt;&gt;"",K49+Q58,"")</f>
        <v>#VALUE!</v>
      </c>
    </row>
    <row r="50" spans="2:25" hidden="1" x14ac:dyDescent="0.25">
      <c r="B50" s="17" t="s">
        <v>26</v>
      </c>
      <c r="C50" s="11" t="str">
        <f>IF(cdtb,C12/C48,"")</f>
        <v/>
      </c>
      <c r="D50" s="11" t="str">
        <f>IF(cdtc,D12/D48,"")</f>
        <v/>
      </c>
      <c r="E50" s="12" t="str">
        <f>IF(cdtd,E12/E48,"")</f>
        <v/>
      </c>
      <c r="F50" s="39"/>
      <c r="G50" s="39"/>
      <c r="H50" s="17" t="s">
        <v>26</v>
      </c>
      <c r="I50" s="11" t="str">
        <f>IF(cdtb,I49/I48,"")</f>
        <v/>
      </c>
      <c r="J50" s="11" t="str">
        <f>IF(cdtc,J49/J48,"")</f>
        <v/>
      </c>
      <c r="K50" s="12" t="str">
        <f>IF(cdtd,K49/K48,"")</f>
        <v/>
      </c>
      <c r="L50" s="39"/>
      <c r="N50" s="17" t="s">
        <v>26</v>
      </c>
      <c r="O50" s="11" t="str">
        <f>IF(cdtb,O49/O48,"")</f>
        <v/>
      </c>
      <c r="P50" s="11" t="str">
        <f>IF(cdtc,IF(cdtc,P49/P48,0),"")</f>
        <v/>
      </c>
      <c r="Q50" s="12" t="str">
        <f>IF(cdtd,IF(cdtd,Q49/Q48,0),"")</f>
        <v/>
      </c>
      <c r="T50" s="121" t="s">
        <v>49</v>
      </c>
      <c r="U50" s="43" t="e">
        <f>IF((Q49/Q48)&lt;lowerthresh,Q49,IF((Q49/Q48)&lt;Q53,Q49/0.85,IF(Q49/Q48&gt;1,Q49,Q48)))</f>
        <v>#VALUE!</v>
      </c>
    </row>
    <row r="51" spans="2:25" hidden="1" x14ac:dyDescent="0.25">
      <c r="B51" s="17"/>
      <c r="C51" s="13"/>
      <c r="D51" s="13"/>
      <c r="E51" s="14"/>
      <c r="F51" s="39"/>
      <c r="G51" s="39"/>
      <c r="H51" s="17"/>
      <c r="I51" s="42"/>
      <c r="J51" s="42"/>
      <c r="K51" s="67"/>
      <c r="L51" s="39"/>
      <c r="N51" s="17"/>
      <c r="O51" s="13"/>
      <c r="P51" s="13"/>
      <c r="Q51" s="14"/>
      <c r="T51" s="121" t="s">
        <v>50</v>
      </c>
      <c r="U51" s="43" t="e">
        <f>IF((Q49/Q48)&lt;lowerthresh,Q49,IF((Q49/Q48)&lt;Q53,Q49*(2*Q50-0.8),IF(Q49/Q48&gt;1,Q49,Q48)))</f>
        <v>#VALUE!</v>
      </c>
      <c r="Y51"/>
    </row>
    <row r="52" spans="2:25" hidden="1" x14ac:dyDescent="0.25">
      <c r="B52" s="17" t="str">
        <f>"Presumed "&amp;dunit&amp;" performance"</f>
        <v>Presumed UDA performance</v>
      </c>
      <c r="C52" s="20" t="str">
        <f>IF(cdtb,IF((C12/C48)&lt;C55,C12,IF((C12/C48)&lt;C53,C12/C53,IF(C12/C48&gt;1,C12,C48))),"")</f>
        <v/>
      </c>
      <c r="D52" s="20" t="str">
        <f>IF(cdtc,IF((D12/D48)&lt;D55,D12,IF((D12/D48)&lt;D53,D12/D53,IF(D12/D48&gt;1,D12,D48))),"")</f>
        <v/>
      </c>
      <c r="E52" s="21" t="str">
        <f>IF(cdtd,IF(ortho,U47,U46),"")</f>
        <v/>
      </c>
      <c r="F52" s="39"/>
      <c r="G52" s="39"/>
      <c r="H52" s="17" t="str">
        <f>"Presumed "&amp;dunit&amp;" performance"</f>
        <v>Presumed UDA performance</v>
      </c>
      <c r="I52" s="20" t="str">
        <f>IF(cdtb,IF((I49/I48)&lt;I55,I49,IF((I49/I48)&lt;I53,I49/I53,IF(I49/I48&gt;1,I49,I48))),"")</f>
        <v/>
      </c>
      <c r="J52" s="20" t="str">
        <f>IF(cdtc,IF((J49/J48)&lt;J55,J49,IF((J49/J48)&lt;J53,J49/J53,IF(J49/J48&gt;1,J49,J48))),"")</f>
        <v/>
      </c>
      <c r="K52" s="21" t="str">
        <f>IF(cdtd,IF(ortho,AA47,AA46),"")</f>
        <v/>
      </c>
      <c r="L52" s="39"/>
      <c r="N52" s="17" t="str">
        <f>"Presumed "&amp;dunit&amp;" performance"</f>
        <v>Presumed UDA performance</v>
      </c>
      <c r="O52" s="20" t="str">
        <f>IF(cdtb,IF((O49/O48)&lt;O55,O49,IF((O49/O48)&lt;O53,O49/O53,IF(O49/O48&gt;1,O49,O48))),"")</f>
        <v/>
      </c>
      <c r="P52" s="20" t="str">
        <f>IF(cdtc,IF((P49/P48)&lt;P55,P49,IF((P49/P48)&lt;P53,P49/P53,IF(P49/P48&gt;1,P49,P48))),"")</f>
        <v/>
      </c>
      <c r="Q52" s="21" t="str">
        <f>IF(cdtd,IF(ortho,U51,U50),"")</f>
        <v/>
      </c>
      <c r="Y52"/>
    </row>
    <row r="53" spans="2:25" hidden="1" x14ac:dyDescent="0.25">
      <c r="B53" s="22" t="s">
        <v>4</v>
      </c>
      <c r="C53" s="5">
        <f>IF($D$3=$E$3,0.6,0.8)</f>
        <v>0.6</v>
      </c>
      <c r="D53" s="5">
        <f>IF($D$3=$E$3,0.65,0.85)</f>
        <v>0.65</v>
      </c>
      <c r="E53" s="23">
        <f>IF($D$3=$E$3,du,ou)</f>
        <v>0.85</v>
      </c>
      <c r="F53" s="39"/>
      <c r="G53" s="39"/>
      <c r="H53" s="22" t="s">
        <v>4</v>
      </c>
      <c r="I53" s="5">
        <f>IF($D$3=$E$3,0.6,0.8)</f>
        <v>0.6</v>
      </c>
      <c r="J53" s="5">
        <f>IF($D$3=$E$3,0.65,0.85)</f>
        <v>0.65</v>
      </c>
      <c r="K53" s="23">
        <f>IF($D$3=$E$3,du,ou)</f>
        <v>0.85</v>
      </c>
      <c r="L53" s="39"/>
      <c r="N53" s="22" t="s">
        <v>4</v>
      </c>
      <c r="O53" s="5">
        <f t="shared" ref="O53" si="8">IF($D$3=$E$3,0.6,0.8)</f>
        <v>0.6</v>
      </c>
      <c r="P53" s="5">
        <f>IF($D$3=$E$3,0.65,0.85)</f>
        <v>0.65</v>
      </c>
      <c r="Q53" s="23">
        <f>IF($D$3=$E$3,du,ou)</f>
        <v>0.85</v>
      </c>
      <c r="T53" s="121" t="s">
        <v>56</v>
      </c>
      <c r="U53" s="43">
        <f>IF(D3="Dental",1.1,1)</f>
        <v>1.1000000000000001</v>
      </c>
      <c r="Y53"/>
    </row>
    <row r="54" spans="2:25" hidden="1" x14ac:dyDescent="0.25">
      <c r="B54" s="24" t="s">
        <v>5</v>
      </c>
      <c r="C54" s="7" t="str">
        <f>IF(cdtb,IF((C12/C48)&gt;=C53,"Yes","No"),"")</f>
        <v/>
      </c>
      <c r="D54" s="7" t="str">
        <f>IF(cdtc,IF((D12/D48)&gt;=D53,"Yes","No"),"")</f>
        <v/>
      </c>
      <c r="E54" s="25" t="str">
        <f>IF(cdtd,IF((E12/E48)&gt;=E53,"Yes","No"),"")</f>
        <v/>
      </c>
      <c r="F54" s="39"/>
      <c r="G54" s="39"/>
      <c r="H54" s="24" t="s">
        <v>5</v>
      </c>
      <c r="I54" s="7" t="str">
        <f>IF(cdtb,IF((I49/I48)&gt;=I53,"Yes","No"),"")</f>
        <v/>
      </c>
      <c r="J54" s="7" t="str">
        <f>IF(cdtc,IF((J49/J48)&gt;=J53,"Yes","No"),"")</f>
        <v/>
      </c>
      <c r="K54" s="25" t="str">
        <f>IF(cdtd,IF((K49/K48)&gt;=K53,"Yes","No"),"")</f>
        <v/>
      </c>
      <c r="L54" s="39"/>
      <c r="N54" s="24" t="s">
        <v>5</v>
      </c>
      <c r="O54" s="7" t="str">
        <f>IF(cdtb,IF((O49/O48)&gt;=O53,"Yes","No"),"")</f>
        <v/>
      </c>
      <c r="P54" s="7" t="str">
        <f>IF(cdtc,IF((P49/P48)&gt;=P53,"Yes","No"),"")</f>
        <v/>
      </c>
      <c r="Q54" s="25" t="str">
        <f>IF(cdtd,IF((Q49/Q48)&gt;=Q53,"Yes","No"),"")</f>
        <v/>
      </c>
      <c r="T54" s="121" t="s">
        <v>57</v>
      </c>
      <c r="U54" s="124">
        <f>C5*U53</f>
        <v>0</v>
      </c>
    </row>
    <row r="55" spans="2:25" hidden="1" x14ac:dyDescent="0.25">
      <c r="B55" s="22" t="s">
        <v>3</v>
      </c>
      <c r="C55" s="5">
        <f>IF($D$3=$E$3,0.36,0.56)</f>
        <v>0.36</v>
      </c>
      <c r="D55" s="5">
        <f>IF($D$3=$E$3,0.52,0.6)</f>
        <v>0.52</v>
      </c>
      <c r="E55" s="61">
        <f>IF($D$3=$E$3,dl,ol)</f>
        <v>0.75</v>
      </c>
      <c r="F55" s="39"/>
      <c r="G55" s="39"/>
      <c r="H55" s="22" t="s">
        <v>3</v>
      </c>
      <c r="I55" s="5">
        <f>IF($D$3=$E$3,0.36,0.56)</f>
        <v>0.36</v>
      </c>
      <c r="J55" s="5">
        <f>IF($D$3=$E$3,0.52,0.6)</f>
        <v>0.52</v>
      </c>
      <c r="K55" s="61">
        <f>IF($D$3=$E$3,dl,ol)</f>
        <v>0.75</v>
      </c>
      <c r="L55" s="39"/>
      <c r="N55" s="22" t="s">
        <v>3</v>
      </c>
      <c r="O55" s="5">
        <f>IF($D$3=$E$3,0.36,0.56)</f>
        <v>0.36</v>
      </c>
      <c r="P55" s="5">
        <f>IF($D$3=$E$3,0.52,0.6)</f>
        <v>0.52</v>
      </c>
      <c r="Q55" s="61">
        <f>IF($D$3=$E$3,dl,ol)</f>
        <v>0.75</v>
      </c>
      <c r="T55" s="121" t="s">
        <v>58</v>
      </c>
      <c r="U55" s="125">
        <f>IF(SUM(C12:E12)&gt;=C5,1,0)</f>
        <v>1</v>
      </c>
    </row>
    <row r="56" spans="2:25" hidden="1" x14ac:dyDescent="0.25">
      <c r="B56" s="24" t="s">
        <v>5</v>
      </c>
      <c r="C56" s="7" t="str">
        <f>IF(cdtb,IF((C12/C48)&gt;=C55,"Yes","No"),"")</f>
        <v/>
      </c>
      <c r="D56" s="7" t="str">
        <f>IF(cdtc,IF((D12/D48)&gt;=D55,"Yes","No"),"")</f>
        <v/>
      </c>
      <c r="E56" s="25" t="str">
        <f>IF(cdtd,IF((E12/E48)&gt;=E55,"Yes","No"),"")</f>
        <v/>
      </c>
      <c r="F56" s="39"/>
      <c r="G56" s="39"/>
      <c r="H56" s="24" t="s">
        <v>5</v>
      </c>
      <c r="I56" s="7" t="str">
        <f>IF(cdtb,IF((I49/I48)&gt;=I55,"Yes","No"),"")</f>
        <v/>
      </c>
      <c r="J56" s="7" t="str">
        <f>IF(cdtc,IF((J49/J48)&gt;=J55,"Yes","No"),"")</f>
        <v/>
      </c>
      <c r="K56" s="25" t="str">
        <f>IF(cdtd,IF((K49/K48)&gt;=K55,"Yes","No"),"")</f>
        <v/>
      </c>
      <c r="L56" s="39"/>
      <c r="N56" s="24" t="s">
        <v>5</v>
      </c>
      <c r="O56" s="7" t="str">
        <f>IF(cdtb,IF((O49/O48)&gt;=O55,"Yes","No"),"")</f>
        <v/>
      </c>
      <c r="P56" s="7" t="str">
        <f>IF(cdtc,IF((P49/P48)&gt;=P55,"Yes","No"),"")</f>
        <v/>
      </c>
      <c r="Q56" s="25" t="str">
        <f>IF(cdtd,IF((Q49/Q48)&gt;=Q55,"Yes","No"),"")</f>
        <v/>
      </c>
      <c r="T56" s="121" t="s">
        <v>59</v>
      </c>
      <c r="U56" s="124">
        <f>IF(SUM(C52:E52)&gt;C5,C5,SUM(C52:E52))</f>
        <v>0</v>
      </c>
    </row>
    <row r="57" spans="2:25" hidden="1" x14ac:dyDescent="0.25">
      <c r="B57" s="17"/>
      <c r="C57" s="26"/>
      <c r="D57" s="26"/>
      <c r="E57" s="27"/>
      <c r="F57" s="39"/>
      <c r="G57" s="39"/>
      <c r="H57" s="17"/>
      <c r="I57" s="42"/>
      <c r="J57" s="42"/>
      <c r="K57" s="67"/>
      <c r="L57" s="39"/>
      <c r="N57" s="17"/>
      <c r="O57" s="26"/>
      <c r="P57" s="26"/>
      <c r="Q57" s="27"/>
      <c r="T57" s="121" t="s">
        <v>60</v>
      </c>
      <c r="U57" s="124">
        <f>IF(SUM(O52:Q52)&gt;C5,C5,SUM(O52:Q52))</f>
        <v>0</v>
      </c>
    </row>
    <row r="58" spans="2:25" hidden="1" x14ac:dyDescent="0.25">
      <c r="B58" s="17" t="str">
        <f>""&amp;dunit&amp;"s to offset"</f>
        <v>UDAs to offset</v>
      </c>
      <c r="C58" s="28"/>
      <c r="D58" s="57"/>
      <c r="E58" s="58"/>
      <c r="F58" s="9"/>
      <c r="G58" s="9"/>
      <c r="H58" s="17" t="str">
        <f>""&amp;dunit&amp;"s to offset"</f>
        <v>UDAs to offset</v>
      </c>
      <c r="I58" s="34"/>
      <c r="J58" s="57" t="str">
        <f>IF(cdtc,IF(J54="Yes",J49-J48*J53,0),"")</f>
        <v/>
      </c>
      <c r="K58" s="58" t="str">
        <f>IF(cdtd,IF(K54="Yes",K49-K48*K53,0),"")</f>
        <v/>
      </c>
      <c r="L58" s="9"/>
      <c r="N58" s="17" t="str">
        <f>"Adjustment to "&amp;dunit&amp;"s from offset"</f>
        <v>Adjustment to UDAs from offset</v>
      </c>
      <c r="O58" s="28">
        <f>IF(cdt,SUM(C109,C116,C122,C127),0)</f>
        <v>0</v>
      </c>
      <c r="P58" s="28">
        <f>IF(cdt,SUM(D109,D117,D122,D134,D127),0)</f>
        <v>0</v>
      </c>
      <c r="Q58" s="27">
        <f>IF(cdt,SUM(E132,E140,E127),0)</f>
        <v>0</v>
      </c>
      <c r="T58" s="121" t="s">
        <v>61</v>
      </c>
      <c r="U58" s="124">
        <f>IF(SUM(C12:E12)&gt;U53*C5,U53*C5,SUM(C12:E12))</f>
        <v>0</v>
      </c>
    </row>
    <row r="59" spans="2:25" hidden="1" x14ac:dyDescent="0.25">
      <c r="B59" s="17"/>
      <c r="C59" s="28"/>
      <c r="D59" s="26"/>
      <c r="E59" s="27"/>
      <c r="F59" s="9"/>
      <c r="G59" s="9"/>
      <c r="H59" s="17"/>
      <c r="I59" s="34"/>
      <c r="J59" s="34"/>
      <c r="K59" s="35"/>
      <c r="L59" s="9"/>
      <c r="N59" s="17"/>
      <c r="O59" s="28"/>
      <c r="P59" s="26"/>
      <c r="Q59" s="27"/>
      <c r="T59" s="121" t="s">
        <v>62</v>
      </c>
      <c r="U59" s="124" t="e">
        <f>IF(SUM(O49:Q49)&gt;U53*C5,U53*C5,SUM(O49:Q49))</f>
        <v>#VALUE!</v>
      </c>
    </row>
    <row r="60" spans="2:25" hidden="1" x14ac:dyDescent="0.25">
      <c r="B60" s="17" t="str">
        <f>""&amp;dunit&amp;"s to clawback"</f>
        <v>UDAs to clawback</v>
      </c>
      <c r="C60" s="28" t="str">
        <f>IF(cdtb,ROUND(IF((C12/C48)&lt;C55,C48-C12,IF((C12/C48)&lt;C53,(C48-C12/C53),0)),1),"")</f>
        <v/>
      </c>
      <c r="D60" s="28" t="str">
        <f>IF(cdtc,ROUND(IF((D12/D48)&lt;D55,D48-D12,IF((D12/D48)&lt;D53,(D48-D12/D53),0)),1),"")</f>
        <v/>
      </c>
      <c r="E60" s="29" t="str">
        <f>IF(cdtd,ROUND(IF((E12/E48)&lt;lowerthresh,E48-E12,IF((E12/E48)&lt;E53,(E48-E12/E53),0)),1),"")</f>
        <v/>
      </c>
      <c r="F60" s="9"/>
      <c r="G60" s="9"/>
      <c r="H60" s="17" t="str">
        <f>""&amp;dunit&amp;"s to clawback"</f>
        <v>UDAs to clawback</v>
      </c>
      <c r="I60" s="28" t="str">
        <f>IF(cdtb,ROUND(IF((I49/I48)&lt;I55,I48-I49,IF((I49/I48)&lt;I53,(I48-I49/I53),0)),1),"")</f>
        <v/>
      </c>
      <c r="J60" s="28" t="str">
        <f>IF(cdtc,ROUND(IF((J49/J48)&lt;J55,J48-J49,IF((J49/J48)&lt;J53,(J48-J49/J53),0)),1),"")</f>
        <v/>
      </c>
      <c r="K60" s="29" t="str">
        <f>IF(cdtd,ROUND(IF((K49/K48)&lt;lowerthresh,K48-K49,IF((K49/K48)&lt;K53,(K48-K49/K53),0)),1),"")</f>
        <v/>
      </c>
      <c r="L60" s="9"/>
      <c r="N60" s="17" t="str">
        <f>""&amp;dunit&amp;"s to clawback"</f>
        <v>UDAs to clawback</v>
      </c>
      <c r="O60" s="28" t="str">
        <f>IF(cdtb,ROUND(IF((O49/O48)&lt;O55,O48-O49,IF((O49/O48)&lt;O53,(O48-O49/O53),0)),1),"")</f>
        <v/>
      </c>
      <c r="P60" s="28" t="str">
        <f>IF(cdtc,ROUND(IF((P49/P48)&lt;P55,P48-P49,IF((P49/P48)&lt;P53,(P48-P49/P53),0)),1),"")</f>
        <v/>
      </c>
      <c r="Q60" s="29" t="str">
        <f>IF(cdtd,ROUND(IF((Q49/Q48)&lt;lowerthresh,Q48-Q49,IF((Q49/Q48)&lt;Q53,(Q48-Q49/Q53),0)),1),"")</f>
        <v/>
      </c>
      <c r="T60" s="121" t="s">
        <v>63</v>
      </c>
      <c r="U60" s="125">
        <f>IF(U55,U58,U56)</f>
        <v>0</v>
      </c>
    </row>
    <row r="61" spans="2:25" hidden="1" x14ac:dyDescent="0.25">
      <c r="B61" s="17" t="s">
        <v>9</v>
      </c>
      <c r="C61" s="30" t="str">
        <f>IF(cdtb,IF((C12/C48)&lt;C55,$C$6/2-$C$7*C12,IF((C12/C48)&lt;C53,(C48-C12/C53)*$C$7,0)),"")</f>
        <v/>
      </c>
      <c r="D61" s="30" t="str">
        <f>IF(cdtc,IF((D12/D48)&lt;D55,$C$6/4-$C$7*D12,IF((D12/D48)&lt;D53,(D48-D12/D53)*$C$7,0)),"")</f>
        <v/>
      </c>
      <c r="E61" s="31" t="str">
        <f>IF(cdtd,IF((E12/E48)&lt;lowerthresh,$C$6/4-$C$7*E12,IF((E12/E48)&lt;E53,(E48-E12/E53)*$C$7,0)),"")</f>
        <v/>
      </c>
      <c r="F61" s="9"/>
      <c r="G61" s="9"/>
      <c r="H61" s="17" t="s">
        <v>9</v>
      </c>
      <c r="I61" s="30" t="str">
        <f>IF(cdtb,IF((I49/I48)&lt;I55,$C$6/2-$C$7*I49,IF((I49/I48)&lt;I53,(I48-I49/I53)*$C$7,0)),"")</f>
        <v/>
      </c>
      <c r="J61" s="30" t="str">
        <f>IF(cdtc,IF((J49/J48)&lt;J55,$C$6/4-$C$7*J49,IF((J49/J48)&lt;J53,(J48-J49/J53)*$C$7,0)),"")</f>
        <v/>
      </c>
      <c r="K61" s="31" t="str">
        <f>IF(cdtd,IF((K49/K48)&lt;lowerthresh,$C$6/4-$C$7*K49,IF((K49/K48)&lt;K53,(K48-K49/K53)*$C$7,0)),"")</f>
        <v/>
      </c>
      <c r="L61" s="9"/>
      <c r="N61" s="17" t="s">
        <v>9</v>
      </c>
      <c r="O61" s="30" t="str">
        <f>IF(cdtb,IF((O49/O48)&lt;O55,$C$6/2-$C$7*O49,IF((O49/O48)&lt;O53,(O48-O49/O53)*$C$7,0)),"")</f>
        <v/>
      </c>
      <c r="P61" s="30" t="str">
        <f>IF(cdtc,IF((P49/P48)&lt;P55,$C$6/4-$C$7*P49,IF((P49/P48)&lt;P53,(P48-P49/P53)*$C$7,0)),"")</f>
        <v/>
      </c>
      <c r="Q61" s="31" t="str">
        <f>IF(cdtd,IF((Q49/Q48)&lt;lowerthresh,$C$6/4-$C$7*Q49,IF((Q49/Q48)&lt;Q53,(Q48-Q49/Q53)*$C$7,0)),"")</f>
        <v/>
      </c>
      <c r="T61" s="121" t="s">
        <v>64</v>
      </c>
      <c r="U61" s="125" t="e">
        <f>IF(U55,U59,U57)</f>
        <v>#VALUE!</v>
      </c>
    </row>
    <row r="62" spans="2:25" hidden="1" x14ac:dyDescent="0.25">
      <c r="B62" s="17" t="str">
        <f>""&amp;dunit&amp;"s subject to adjustment"</f>
        <v>UDAs subject to adjustment</v>
      </c>
      <c r="C62" s="32" t="str">
        <f>IF(cdtb,IF(C12&gt;C48,0,ROUND(C48-C12-C60,1)),"")</f>
        <v/>
      </c>
      <c r="D62" s="32" t="str">
        <f>IF(cdtc,IF(D12&gt;D48,0,ROUND(D48-D12-D60,1)),"")</f>
        <v/>
      </c>
      <c r="E62" s="33" t="str">
        <f>IF(cdtd,IF(E12&gt;E48,0,ROUND(E48-E12-E60,1)),"")</f>
        <v/>
      </c>
      <c r="F62" s="9"/>
      <c r="G62" s="9"/>
      <c r="H62" s="17" t="str">
        <f>""&amp;dunit&amp;"s subject to adjustment"</f>
        <v>UDAs subject to adjustment</v>
      </c>
      <c r="I62" s="32" t="str">
        <f>IF(cdtb,IF(I49&gt;I48,0,ROUND(I48-I49-I60,1)),"")</f>
        <v/>
      </c>
      <c r="J62" s="32" t="str">
        <f>IF(cdtc,IF(J49&gt;J48,0,ROUND(J48-J49-J60,1)),"")</f>
        <v/>
      </c>
      <c r="K62" s="33" t="str">
        <f>IF(cdtd,IF(K49&gt;K48,0,ROUND(K48-K49-K60,1)),"")</f>
        <v/>
      </c>
      <c r="L62" s="9"/>
      <c r="N62" s="17" t="str">
        <f>""&amp;dunit&amp;"s subject to adjustment"</f>
        <v>UDAs subject to adjustment</v>
      </c>
      <c r="O62" s="32" t="str">
        <f>IF(cdtb,IF(O49&gt;O48,0,ROUND(O48-O49-O60,1)),"")</f>
        <v/>
      </c>
      <c r="P62" s="32" t="str">
        <f>IF(cdtc,IF(P49&gt;P48,0,ROUND(P48-P49-P60,1)),"")</f>
        <v/>
      </c>
      <c r="Q62" s="33" t="str">
        <f>IF(cdtd,IF(Q49&gt;Q48,0,ROUND(Q48-Q49-Q60,1)),"")</f>
        <v/>
      </c>
      <c r="T62" s="121" t="s">
        <v>65</v>
      </c>
      <c r="U62" s="126">
        <f>IF(U60&gt;C$5,C$7*(U60-C$5),0)</f>
        <v>0</v>
      </c>
    </row>
    <row r="63" spans="2:25" hidden="1" x14ac:dyDescent="0.25">
      <c r="B63" s="17" t="s">
        <v>10</v>
      </c>
      <c r="C63" s="30" t="str">
        <f>IF(cdtb,C62*$C$7*0.1675,"")</f>
        <v/>
      </c>
      <c r="D63" s="30" t="str">
        <f>IF(cdtc,D62*$C$7*0.1275,"")</f>
        <v/>
      </c>
      <c r="E63" s="31" t="str">
        <f>IF(cdtd,E62*$C$7*0.1275,"")</f>
        <v/>
      </c>
      <c r="F63" s="9"/>
      <c r="G63" s="9"/>
      <c r="H63" s="17" t="s">
        <v>10</v>
      </c>
      <c r="I63" s="30" t="str">
        <f>IF(cdtb,I62*$C$7*0.1675,"")</f>
        <v/>
      </c>
      <c r="J63" s="30" t="str">
        <f>IF(cdtc,J62*$C$7*0.1275,"")</f>
        <v/>
      </c>
      <c r="K63" s="31" t="str">
        <f>IF(cdtd,K62*$C$7*0.1275,"")</f>
        <v/>
      </c>
      <c r="L63" s="9"/>
      <c r="N63" s="17" t="s">
        <v>10</v>
      </c>
      <c r="O63" s="30" t="str">
        <f>IF(cdtb,O62*$C$7*0.1675,"")</f>
        <v/>
      </c>
      <c r="P63" s="30" t="str">
        <f>IF(cdtc,P62*$C$7*0.1275,"")</f>
        <v/>
      </c>
      <c r="Q63" s="31" t="str">
        <f>IF(cdtd,Q62*$C$7*0.1275,"")</f>
        <v/>
      </c>
      <c r="T63" s="121" t="s">
        <v>66</v>
      </c>
      <c r="U63" s="126" t="e">
        <f>IF(U61&gt;C$5,C$7*(U61-C$5),0)</f>
        <v>#VALUE!</v>
      </c>
    </row>
    <row r="64" spans="2:25" hidden="1" x14ac:dyDescent="0.25">
      <c r="B64" s="17" t="s">
        <v>51</v>
      </c>
      <c r="C64" s="42" t="str">
        <f>IF(cdtb,C61+C63,"")</f>
        <v/>
      </c>
      <c r="D64" s="42" t="str">
        <f>IF(cdtc,D61+D63,"")</f>
        <v/>
      </c>
      <c r="E64" s="31" t="str">
        <f>IF(cdtd,E61+E63,"0")</f>
        <v>0</v>
      </c>
      <c r="H64" s="17" t="s">
        <v>51</v>
      </c>
      <c r="I64" s="42" t="str">
        <f>IF(cdtb,I61+I63,"")</f>
        <v/>
      </c>
      <c r="J64" s="42" t="str">
        <f>IF(cdtc,J61+J63,"")</f>
        <v/>
      </c>
      <c r="K64" s="31" t="str">
        <f>IF(cdtd,K61+K63,"0")</f>
        <v>0</v>
      </c>
      <c r="N64" s="17" t="s">
        <v>51</v>
      </c>
      <c r="O64" s="42" t="str">
        <f>IF(cdtb,O61+O63,"")</f>
        <v/>
      </c>
      <c r="P64" s="42" t="str">
        <f>IF(cdtc,P61+P63,"")</f>
        <v/>
      </c>
      <c r="Q64" s="31" t="str">
        <f>IF(cdtd,Q61+Q63,"")</f>
        <v/>
      </c>
    </row>
    <row r="65" spans="2:17" hidden="1" x14ac:dyDescent="0.25">
      <c r="B65" s="17" t="s">
        <v>1</v>
      </c>
      <c r="C65" s="34" t="str">
        <f>IF(cdtb,$C$6/2-C64,"")</f>
        <v/>
      </c>
      <c r="D65" s="34" t="str">
        <f>IF(cdtc,$C$6/4-D64,"")</f>
        <v/>
      </c>
      <c r="E65" s="35" t="str">
        <f>IF(cdtd,$C$6/4+U62-E64,"")</f>
        <v/>
      </c>
      <c r="H65" s="17" t="s">
        <v>1</v>
      </c>
      <c r="I65" s="34" t="str">
        <f>IF(cdtb,$C$6/2-I64,"")</f>
        <v/>
      </c>
      <c r="J65" s="34" t="str">
        <f>IF(cdtc,$C$6/4-J64,"")</f>
        <v/>
      </c>
      <c r="K65" s="35" t="str">
        <f>IF(cdtd,$C$6/4+U62-K64,"")</f>
        <v/>
      </c>
      <c r="N65" s="17" t="s">
        <v>1</v>
      </c>
      <c r="O65" s="34" t="str">
        <f>IF(cdtb,$C$6/2-O64,"")</f>
        <v/>
      </c>
      <c r="P65" s="34" t="str">
        <f>IF(cdtc,$C$6/4-P64,"")</f>
        <v/>
      </c>
      <c r="Q65" s="35" t="str">
        <f>IF(cdtd,$C$6/4+U63-Q64,"")</f>
        <v/>
      </c>
    </row>
    <row r="66" spans="2:17" hidden="1" x14ac:dyDescent="0.25">
      <c r="B66" s="17" t="str">
        <f>"Total "&amp;dunit&amp;"s performed and paid for"</f>
        <v>Total UDAs performed and paid for</v>
      </c>
      <c r="C66" s="145" t="str">
        <f>IF(cdt,TEXT(U60,"#,###.0")&amp;" "&amp;dunit&amp;"s, equal to: "&amp;TEXT(U60/C5,"0.0%")&amp;" of target","")</f>
        <v/>
      </c>
      <c r="D66" s="145"/>
      <c r="E66" s="146"/>
      <c r="H66" s="17" t="str">
        <f>"Total "&amp;dunit&amp;"s performed and paid for"</f>
        <v>Total UDAs performed and paid for</v>
      </c>
      <c r="I66" s="145" t="str">
        <f>IF(cdt,TEXT(U60,"#,###.0")&amp;" "&amp;dunit&amp;"s, equal to: "&amp;TEXT(U60/C5,"0.0%")&amp;" of target","")</f>
        <v/>
      </c>
      <c r="J66" s="145"/>
      <c r="K66" s="146"/>
      <c r="N66" s="17" t="str">
        <f>"Total "&amp;dunit&amp;"s performed and paid for"</f>
        <v>Total UDAs performed and paid for</v>
      </c>
      <c r="O66" s="147" t="str">
        <f>IF(cdt,TEXT(U61,"#,###.0")&amp;" "&amp;dunit&amp;"s, equal to: "&amp;TEXT(U61/C5,"0.0%")&amp;" of target","")</f>
        <v/>
      </c>
      <c r="P66" s="147"/>
      <c r="Q66" s="148"/>
    </row>
    <row r="67" spans="2:17" hidden="1" x14ac:dyDescent="0.25">
      <c r="B67" s="17" t="s">
        <v>68</v>
      </c>
      <c r="C67" s="91"/>
      <c r="D67" s="66" t="str">
        <f>IF(cdt,SUM(C64:E64),"")</f>
        <v/>
      </c>
      <c r="E67" s="92"/>
      <c r="H67" s="17" t="s">
        <v>68</v>
      </c>
      <c r="I67" s="91"/>
      <c r="J67" s="66" t="str">
        <f>IF(cdt,SUM(I64:K64),"")</f>
        <v/>
      </c>
      <c r="K67" s="92"/>
      <c r="N67" s="17" t="s">
        <v>68</v>
      </c>
      <c r="O67" s="93"/>
      <c r="P67" s="66" t="str">
        <f>IF(cdt,SUM(O64:Q64),"")</f>
        <v/>
      </c>
      <c r="Q67" s="94"/>
    </row>
    <row r="68" spans="2:17" hidden="1" x14ac:dyDescent="0.25">
      <c r="B68" s="36" t="s">
        <v>11</v>
      </c>
      <c r="C68" s="6"/>
      <c r="D68" s="37" t="str">
        <f>IF(cdt,SUM(C65:E65),"")</f>
        <v/>
      </c>
      <c r="E68" s="38"/>
      <c r="F68" s="39"/>
      <c r="G68" s="39"/>
      <c r="H68" s="36" t="s">
        <v>11</v>
      </c>
      <c r="I68" s="6"/>
      <c r="J68" s="37" t="str">
        <f>IF(cdt,SUM(I65:K65),"")</f>
        <v/>
      </c>
      <c r="K68" s="38"/>
      <c r="L68" s="39"/>
      <c r="N68" s="36" t="s">
        <v>11</v>
      </c>
      <c r="O68" s="6"/>
      <c r="P68" s="37" t="str">
        <f>IF(cdt,SUM(O65:Q65),"")</f>
        <v/>
      </c>
      <c r="Q68" s="38"/>
    </row>
    <row r="69" spans="2:17" hidden="1" x14ac:dyDescent="0.25"/>
    <row r="70" spans="2:17" hidden="1" x14ac:dyDescent="0.25">
      <c r="H70" s="45" t="s">
        <v>70</v>
      </c>
      <c r="J70" s="9" t="str">
        <f>IF(cdt,J68-D68,"")</f>
        <v/>
      </c>
      <c r="N70" s="45" t="str">
        <f>IF(P70&lt;&gt;0,"Benefit to the practice from offsetting:","There is no benefit to the practice from offsetting.")</f>
        <v>Benefit to the practice from offsetting:</v>
      </c>
      <c r="P70" s="10" t="str">
        <f>IF(cdt,P68-J68,"")</f>
        <v/>
      </c>
    </row>
    <row r="71" spans="2:17" ht="18.75" hidden="1" x14ac:dyDescent="0.3">
      <c r="B71" s="86" t="s">
        <v>72</v>
      </c>
      <c r="C71" s="84"/>
      <c r="D71" s="84"/>
      <c r="E71" s="84"/>
      <c r="F71" s="84"/>
      <c r="H71" s="45"/>
      <c r="N71" s="45"/>
      <c r="P71" s="10"/>
    </row>
    <row r="72" spans="2:17" hidden="1" x14ac:dyDescent="0.25">
      <c r="B72" s="84"/>
      <c r="C72" s="84"/>
      <c r="D72" s="84"/>
      <c r="E72" s="84"/>
      <c r="F72" s="84" t="s">
        <v>30</v>
      </c>
      <c r="H72" s="45"/>
      <c r="N72" s="45"/>
      <c r="P72" s="10"/>
    </row>
    <row r="73" spans="2:17" hidden="1" x14ac:dyDescent="0.25">
      <c r="B73" s="84"/>
      <c r="C73" s="84"/>
      <c r="D73" s="84"/>
      <c r="E73" s="84"/>
      <c r="F73" s="87">
        <f>C8</f>
        <v>0</v>
      </c>
      <c r="H73" s="45"/>
      <c r="N73" s="45"/>
      <c r="P73" s="10"/>
    </row>
    <row r="74" spans="2:17" hidden="1" x14ac:dyDescent="0.25">
      <c r="B74" s="85" t="s">
        <v>73</v>
      </c>
      <c r="C74" s="84"/>
      <c r="D74" s="84"/>
      <c r="E74" s="84"/>
      <c r="F74" s="87"/>
      <c r="H74" s="45"/>
      <c r="N74" s="45"/>
      <c r="P74" s="10"/>
    </row>
    <row r="75" spans="2:17" hidden="1" x14ac:dyDescent="0.25">
      <c r="B75" s="84" t="s">
        <v>74</v>
      </c>
      <c r="C75" s="84" t="e">
        <f>IF(C12&lt;C55*C48,IF(F73&gt;=(C55*C48-C12),C55*C48-C12,0),0)</f>
        <v>#VALUE!</v>
      </c>
      <c r="D75" s="84"/>
      <c r="E75" s="84"/>
      <c r="F75" s="87" t="e">
        <f>F73-C75</f>
        <v>#VALUE!</v>
      </c>
      <c r="H75" s="45"/>
      <c r="I75" s="3">
        <f>IF(cdt,IF(P68&gt;J68,1,0),0)</f>
        <v>0</v>
      </c>
      <c r="N75" s="45"/>
      <c r="P75" s="10"/>
    </row>
    <row r="76" spans="2:17" hidden="1" x14ac:dyDescent="0.25">
      <c r="B76" s="84" t="s">
        <v>75</v>
      </c>
      <c r="C76" s="84"/>
      <c r="D76" s="84" t="e">
        <f>IF(D12&lt;D55*D48,IF(F75&gt;=(D55*D48-D12),D55*D48-D12,0),0)</f>
        <v>#VALUE!</v>
      </c>
      <c r="E76" s="84"/>
      <c r="F76" s="87" t="e">
        <f>F75-D76</f>
        <v>#VALUE!</v>
      </c>
      <c r="H76" s="45"/>
      <c r="I76" s="3">
        <f>IF(cdt,IF(J68&gt;D68,1,0),0)</f>
        <v>0</v>
      </c>
      <c r="N76" s="45"/>
      <c r="P76" s="10"/>
    </row>
    <row r="77" spans="2:17" hidden="1" x14ac:dyDescent="0.25">
      <c r="B77" s="84" t="s">
        <v>76</v>
      </c>
      <c r="C77" s="84"/>
      <c r="D77" s="84"/>
      <c r="E77" s="84" t="e">
        <f>IF(E12&lt;E55*E48,IF(F76&gt;=(E55*E48-E12),E55*E48-E12,0),0)</f>
        <v>#VALUE!</v>
      </c>
      <c r="F77" s="87" t="e">
        <f>F76-E77</f>
        <v>#VALUE!</v>
      </c>
      <c r="H77" s="45"/>
      <c r="N77" s="45"/>
      <c r="P77" s="10"/>
    </row>
    <row r="78" spans="2:17" hidden="1" x14ac:dyDescent="0.25">
      <c r="B78" s="84"/>
      <c r="C78" s="84"/>
      <c r="D78" s="84"/>
      <c r="E78" s="84"/>
      <c r="F78" s="87"/>
      <c r="H78" s="45"/>
      <c r="N78" s="45"/>
      <c r="P78" s="10"/>
    </row>
    <row r="79" spans="2:17" hidden="1" x14ac:dyDescent="0.25">
      <c r="B79" s="85" t="s">
        <v>77</v>
      </c>
      <c r="C79" s="84"/>
      <c r="D79" s="84"/>
      <c r="E79" s="84"/>
      <c r="F79" s="87"/>
      <c r="H79" s="45"/>
      <c r="N79" s="45"/>
      <c r="P79" s="10"/>
    </row>
    <row r="80" spans="2:17" hidden="1" x14ac:dyDescent="0.25">
      <c r="B80" s="90" t="s">
        <v>85</v>
      </c>
      <c r="C80" s="90" t="e">
        <f>IF((C12+C75)&gt;=(C48*C55),1,0)</f>
        <v>#VALUE!</v>
      </c>
      <c r="D80" s="90" t="e">
        <f>IF((D12+D76)&gt;=(D48*D55),1,0)</f>
        <v>#VALUE!</v>
      </c>
      <c r="E80" s="90" t="e">
        <f>IF((E12+E77)&gt;=(E48*E55),1,0)</f>
        <v>#VALUE!</v>
      </c>
      <c r="F80" s="87"/>
      <c r="H80" s="45"/>
      <c r="N80" s="45"/>
      <c r="P80" s="10"/>
    </row>
    <row r="81" spans="2:16" hidden="1" x14ac:dyDescent="0.25">
      <c r="B81" s="90" t="s">
        <v>86</v>
      </c>
      <c r="C81" s="90" t="e">
        <f>IF((C12+C75)&lt;(C48*C53),1,0)</f>
        <v>#VALUE!</v>
      </c>
      <c r="D81" s="90" t="e">
        <f>IF((D12+D76)&lt;(D48*D53),1,0)</f>
        <v>#VALUE!</v>
      </c>
      <c r="E81" s="90" t="e">
        <f>IF((E12+E77)&lt;(E48*E53),1,0)</f>
        <v>#VALUE!</v>
      </c>
      <c r="F81" s="87"/>
      <c r="H81" s="45"/>
      <c r="N81" s="45"/>
      <c r="P81" s="10"/>
    </row>
    <row r="82" spans="2:16" hidden="1" x14ac:dyDescent="0.25">
      <c r="B82" s="90" t="s">
        <v>87</v>
      </c>
      <c r="C82" s="90" t="e">
        <f>IF(AND(C80,C81),1,0)</f>
        <v>#VALUE!</v>
      </c>
      <c r="D82" s="90" t="e">
        <f t="shared" ref="D82:E82" si="9">IF(AND(D80,D81),1,0)</f>
        <v>#VALUE!</v>
      </c>
      <c r="E82" s="90" t="e">
        <f t="shared" si="9"/>
        <v>#VALUE!</v>
      </c>
      <c r="F82" s="87"/>
      <c r="H82" s="45"/>
      <c r="N82" s="45"/>
      <c r="P82" s="10"/>
    </row>
    <row r="83" spans="2:16" hidden="1" x14ac:dyDescent="0.25">
      <c r="B83" s="90" t="s">
        <v>84</v>
      </c>
      <c r="C83" s="90" t="e">
        <f>IF(C82,(C48*C53)-(C12+C75),0)</f>
        <v>#VALUE!</v>
      </c>
      <c r="D83" s="90" t="e">
        <f>IF(D82,(D48*D53)-(D12+D76),0)</f>
        <v>#VALUE!</v>
      </c>
      <c r="E83" s="90" t="e">
        <f>IF(E82,(E48*E53)-(E12+E77),0)</f>
        <v>#VALUE!</v>
      </c>
      <c r="F83" s="87"/>
      <c r="H83" s="45"/>
      <c r="N83" s="45"/>
      <c r="P83" s="10"/>
    </row>
    <row r="84" spans="2:16" hidden="1" x14ac:dyDescent="0.25">
      <c r="B84" s="84" t="s">
        <v>78</v>
      </c>
      <c r="C84" s="84" t="e">
        <f>IF(F77&gt;C83,C83,F77)</f>
        <v>#VALUE!</v>
      </c>
      <c r="D84" s="84"/>
      <c r="E84" s="84"/>
      <c r="F84" s="87" t="e">
        <f>F77-C84</f>
        <v>#VALUE!</v>
      </c>
      <c r="H84" s="45"/>
      <c r="N84" s="45"/>
      <c r="P84" s="10"/>
    </row>
    <row r="85" spans="2:16" hidden="1" x14ac:dyDescent="0.25">
      <c r="B85" s="84" t="s">
        <v>79</v>
      </c>
      <c r="C85" s="84"/>
      <c r="D85" s="84" t="e">
        <f>IF(F84&gt;D83,D83,F84)</f>
        <v>#VALUE!</v>
      </c>
      <c r="E85" s="84"/>
      <c r="F85" s="87" t="e">
        <f>F84-D85</f>
        <v>#VALUE!</v>
      </c>
      <c r="H85" s="45"/>
      <c r="N85" s="45"/>
      <c r="P85" s="10"/>
    </row>
    <row r="86" spans="2:16" hidden="1" x14ac:dyDescent="0.25">
      <c r="B86" s="84" t="s">
        <v>80</v>
      </c>
      <c r="C86" s="84"/>
      <c r="D86" s="84"/>
      <c r="E86" s="84" t="e">
        <f>IF(F85&gt;E83,E83,F85)</f>
        <v>#VALUE!</v>
      </c>
      <c r="F86" s="87" t="e">
        <f>F85-E86</f>
        <v>#VALUE!</v>
      </c>
      <c r="H86" s="45"/>
      <c r="N86" s="45"/>
      <c r="P86" s="10"/>
    </row>
    <row r="87" spans="2:16" hidden="1" x14ac:dyDescent="0.25">
      <c r="B87" s="84"/>
      <c r="C87" s="84"/>
      <c r="D87" s="84"/>
      <c r="E87" s="84"/>
      <c r="F87" s="87"/>
      <c r="H87" s="45"/>
      <c r="N87" s="45"/>
      <c r="P87" s="10"/>
    </row>
    <row r="88" spans="2:16" hidden="1" x14ac:dyDescent="0.25">
      <c r="B88" s="85" t="s">
        <v>81</v>
      </c>
      <c r="C88" s="84"/>
      <c r="D88" s="84"/>
      <c r="E88" s="84"/>
      <c r="F88" s="87"/>
      <c r="H88" s="45"/>
      <c r="N88" s="45"/>
      <c r="P88" s="10"/>
    </row>
    <row r="89" spans="2:16" hidden="1" x14ac:dyDescent="0.25">
      <c r="B89" s="90" t="s">
        <v>88</v>
      </c>
      <c r="C89" s="90" t="e">
        <f>IF((C12+C75+C84)&lt;(C48*C55),1,0)</f>
        <v>#VALUE!</v>
      </c>
      <c r="D89" s="90" t="e">
        <f>IF((D12+D76+D85)&lt;(D48*D55),1,0)</f>
        <v>#VALUE!</v>
      </c>
      <c r="E89" s="90" t="e">
        <f>IF((E12+E77+E86)&lt;(E48*E55),1,0)</f>
        <v>#VALUE!</v>
      </c>
      <c r="F89" s="87"/>
      <c r="H89" s="45"/>
      <c r="N89" s="45"/>
      <c r="P89" s="10"/>
    </row>
    <row r="90" spans="2:16" hidden="1" x14ac:dyDescent="0.25">
      <c r="B90" s="84" t="s">
        <v>83</v>
      </c>
      <c r="C90" s="84" t="e">
        <f>IF(C89,F86,0)</f>
        <v>#VALUE!</v>
      </c>
      <c r="D90" s="84"/>
      <c r="E90" s="84"/>
      <c r="F90" s="87" t="e">
        <f>F86-C90</f>
        <v>#VALUE!</v>
      </c>
      <c r="H90" s="45"/>
      <c r="N90" s="45"/>
      <c r="P90" s="10"/>
    </row>
    <row r="91" spans="2:16" hidden="1" x14ac:dyDescent="0.25">
      <c r="B91" s="84" t="s">
        <v>82</v>
      </c>
      <c r="C91" s="84"/>
      <c r="D91" s="84" t="e">
        <f>IF(D89,F90,0)</f>
        <v>#VALUE!</v>
      </c>
      <c r="E91" s="84"/>
      <c r="F91" s="87" t="e">
        <f>F90-D91</f>
        <v>#VALUE!</v>
      </c>
      <c r="H91" s="45"/>
      <c r="N91" s="45"/>
      <c r="P91" s="10"/>
    </row>
    <row r="92" spans="2:16" hidden="1" x14ac:dyDescent="0.25">
      <c r="B92" s="84" t="s">
        <v>89</v>
      </c>
      <c r="C92" s="84"/>
      <c r="D92" s="84"/>
      <c r="E92" s="84" t="e">
        <f>IF(E89,F91,0)</f>
        <v>#VALUE!</v>
      </c>
      <c r="F92" s="87" t="e">
        <f>F91-E92</f>
        <v>#VALUE!</v>
      </c>
      <c r="H92" s="45"/>
      <c r="N92" s="45"/>
      <c r="P92" s="10"/>
    </row>
    <row r="93" spans="2:16" hidden="1" x14ac:dyDescent="0.25">
      <c r="B93" s="84"/>
      <c r="C93" s="84"/>
      <c r="D93" s="84"/>
      <c r="E93" s="84"/>
      <c r="F93" s="87"/>
      <c r="H93" s="45"/>
      <c r="N93" s="45"/>
      <c r="P93" s="10"/>
    </row>
    <row r="94" spans="2:16" hidden="1" x14ac:dyDescent="0.25">
      <c r="B94" s="131" t="s">
        <v>103</v>
      </c>
      <c r="C94" s="84"/>
      <c r="D94" s="84"/>
      <c r="E94" s="84"/>
      <c r="F94" s="87"/>
      <c r="H94" s="45"/>
      <c r="N94" s="45"/>
      <c r="P94" s="10"/>
    </row>
    <row r="95" spans="2:16" hidden="1" x14ac:dyDescent="0.25">
      <c r="B95" s="130" t="s">
        <v>106</v>
      </c>
      <c r="C95" s="84" t="e">
        <f>IF(AND((C12+C75+C84+C90)&gt;C53*C48,(C12+C75+C84+C90)&lt;C48),1,0)</f>
        <v>#VALUE!</v>
      </c>
      <c r="D95" s="84" t="e">
        <f>IF(AND((D12+D76+D85+D91)&gt;D53*D48,(D12+D76+D85+D91)&lt;D48),1,0)</f>
        <v>#VALUE!</v>
      </c>
      <c r="E95" s="84" t="e">
        <f>IF(AND((E12+E77+E86+E92)&gt;E53*E48,(E12+E77+E86+E92)&lt;E48),1,0)</f>
        <v>#VALUE!</v>
      </c>
      <c r="F95" s="87"/>
      <c r="H95" s="45"/>
      <c r="N95" s="45"/>
      <c r="P95" s="10"/>
    </row>
    <row r="96" spans="2:16" hidden="1" x14ac:dyDescent="0.25">
      <c r="B96" s="130" t="s">
        <v>105</v>
      </c>
      <c r="C96" s="84" t="e">
        <f>IF(C95,C48-C49,0)</f>
        <v>#VALUE!</v>
      </c>
      <c r="D96" s="84" t="e">
        <f>IF(D95,D48-D49,0)</f>
        <v>#VALUE!</v>
      </c>
      <c r="E96" s="84" t="e">
        <f>IF(E95,E48-E49,0)</f>
        <v>#VALUE!</v>
      </c>
      <c r="F96" s="87"/>
      <c r="H96" s="45"/>
      <c r="N96" s="45"/>
      <c r="P96" s="10"/>
    </row>
    <row r="97" spans="2:16" hidden="1" x14ac:dyDescent="0.25">
      <c r="B97" s="130" t="s">
        <v>104</v>
      </c>
      <c r="C97" s="132" t="e">
        <f>IF(F92&gt;C96,C96,F92)</f>
        <v>#VALUE!</v>
      </c>
      <c r="D97" s="132" t="e">
        <f>IF((F92-C97)&lt;D96,(F92-C97),D96)</f>
        <v>#VALUE!</v>
      </c>
      <c r="E97" s="133" t="e">
        <f>IF((F92-D97-C97)&lt;E96,(F92-D97-C97),E96)</f>
        <v>#VALUE!</v>
      </c>
      <c r="F97" s="87"/>
      <c r="H97" s="45"/>
      <c r="N97" s="45"/>
      <c r="P97" s="10"/>
    </row>
    <row r="98" spans="2:16" hidden="1" x14ac:dyDescent="0.25">
      <c r="B98" s="84"/>
      <c r="C98" s="84"/>
      <c r="D98" s="84"/>
      <c r="E98" s="84"/>
      <c r="F98" s="87"/>
      <c r="H98" s="45"/>
      <c r="N98" s="45"/>
      <c r="P98" s="10"/>
    </row>
    <row r="99" spans="2:16" hidden="1" x14ac:dyDescent="0.25">
      <c r="B99" s="84"/>
      <c r="C99" s="84"/>
      <c r="D99" s="84"/>
      <c r="E99" s="84"/>
      <c r="F99" s="87"/>
      <c r="H99" s="45"/>
      <c r="N99" s="45"/>
      <c r="P99" s="10"/>
    </row>
    <row r="100" spans="2:16" ht="21" hidden="1" x14ac:dyDescent="0.35">
      <c r="B100" s="76" t="s">
        <v>71</v>
      </c>
      <c r="F100" s="88"/>
      <c r="H100" s="45"/>
      <c r="N100" s="45"/>
      <c r="P100" s="10"/>
    </row>
    <row r="101" spans="2:16" hidden="1" x14ac:dyDescent="0.25">
      <c r="B101" s="77" t="s">
        <v>23</v>
      </c>
      <c r="C101" s="78"/>
      <c r="D101" s="78"/>
      <c r="E101" s="78"/>
      <c r="F101" s="78" t="s">
        <v>30</v>
      </c>
    </row>
    <row r="102" spans="2:16" hidden="1" x14ac:dyDescent="0.25">
      <c r="B102" s="78" t="s">
        <v>13</v>
      </c>
      <c r="C102" s="78"/>
      <c r="D102" s="78"/>
      <c r="E102" s="78"/>
      <c r="F102" s="95" t="e">
        <f>J58+K58</f>
        <v>#VALUE!</v>
      </c>
    </row>
    <row r="103" spans="2:16" hidden="1" x14ac:dyDescent="0.25">
      <c r="B103" s="79"/>
      <c r="C103" s="78"/>
      <c r="D103" s="78"/>
      <c r="E103" s="78"/>
      <c r="F103" s="78"/>
    </row>
    <row r="104" spans="2:16" hidden="1" x14ac:dyDescent="0.25">
      <c r="B104" s="80" t="s">
        <v>31</v>
      </c>
      <c r="C104" s="78"/>
      <c r="D104" s="78"/>
      <c r="E104" s="78"/>
      <c r="F104" s="78"/>
    </row>
    <row r="105" spans="2:16" hidden="1" x14ac:dyDescent="0.25">
      <c r="B105" s="78" t="s">
        <v>32</v>
      </c>
      <c r="C105" s="78">
        <f>IF(I56="no",I55*I48-I49,0)</f>
        <v>0</v>
      </c>
      <c r="D105" s="78"/>
      <c r="E105" s="78"/>
      <c r="F105" s="78"/>
    </row>
    <row r="106" spans="2:16" hidden="1" x14ac:dyDescent="0.25">
      <c r="B106" s="78" t="s">
        <v>33</v>
      </c>
      <c r="C106" s="78">
        <f>IF(J56="no",J55*J48-J49,0)</f>
        <v>0</v>
      </c>
      <c r="D106" s="78"/>
      <c r="E106" s="78"/>
      <c r="F106" s="78"/>
    </row>
    <row r="107" spans="2:16" hidden="1" x14ac:dyDescent="0.25">
      <c r="B107" s="78"/>
      <c r="C107" s="81"/>
      <c r="D107" s="78"/>
      <c r="E107" s="78"/>
      <c r="F107" s="78"/>
    </row>
    <row r="108" spans="2:16" hidden="1" x14ac:dyDescent="0.25">
      <c r="B108" s="78"/>
      <c r="C108" s="78" t="s">
        <v>14</v>
      </c>
      <c r="D108" s="78" t="s">
        <v>14</v>
      </c>
      <c r="E108" s="78"/>
      <c r="F108" s="78"/>
    </row>
    <row r="109" spans="2:16" hidden="1" x14ac:dyDescent="0.25">
      <c r="B109" s="78" t="s">
        <v>42</v>
      </c>
      <c r="C109" s="78" t="e">
        <f>IF(F102&gt;=C105,C105,0)</f>
        <v>#VALUE!</v>
      </c>
      <c r="D109" s="78" t="e">
        <f>IF((F102-C109)&gt;=C106,C106,0)</f>
        <v>#VALUE!</v>
      </c>
      <c r="E109" s="78"/>
      <c r="F109" s="78" t="e">
        <f>F102-SUM(C109:D109)</f>
        <v>#VALUE!</v>
      </c>
    </row>
    <row r="110" spans="2:16" hidden="1" x14ac:dyDescent="0.25">
      <c r="B110" s="78"/>
      <c r="C110" s="78"/>
      <c r="D110" s="78"/>
      <c r="E110" s="78"/>
      <c r="F110" s="78"/>
    </row>
    <row r="111" spans="2:16" hidden="1" x14ac:dyDescent="0.25">
      <c r="B111" s="77" t="s">
        <v>34</v>
      </c>
      <c r="C111" s="78"/>
      <c r="D111" s="78"/>
      <c r="E111" s="78"/>
      <c r="F111" s="78"/>
    </row>
    <row r="112" spans="2:16" hidden="1" x14ac:dyDescent="0.25">
      <c r="B112" s="78" t="s">
        <v>35</v>
      </c>
      <c r="C112" s="81" t="e">
        <f>IF((I49+C109)&gt;=(I55*I48),"Yes", "No")</f>
        <v>#VALUE!</v>
      </c>
      <c r="D112" s="81" t="e">
        <f>IF((J49+D109)&gt;=(J55*J48),"Yes", "No")</f>
        <v>#VALUE!</v>
      </c>
      <c r="E112" s="78"/>
      <c r="F112" s="78" t="e">
        <f>F109</f>
        <v>#VALUE!</v>
      </c>
    </row>
    <row r="113" spans="2:12" hidden="1" x14ac:dyDescent="0.25">
      <c r="B113" s="78" t="s">
        <v>36</v>
      </c>
      <c r="C113" s="41" t="e">
        <f>IF(C112="Yes",I53*I48,0)</f>
        <v>#VALUE!</v>
      </c>
      <c r="D113" s="41" t="e">
        <f>IF(D112="Yes",J53*J48,0)</f>
        <v>#VALUE!</v>
      </c>
    </row>
    <row r="114" spans="2:12" hidden="1" x14ac:dyDescent="0.25">
      <c r="B114" s="78" t="s">
        <v>37</v>
      </c>
      <c r="C114" s="41" t="e">
        <f>IF(C112="Yes",SUM(I49,I109),0)</f>
        <v>#VALUE!</v>
      </c>
      <c r="D114" s="41" t="e">
        <f>IF(D112="Yes",SUM(J49,J109),0)</f>
        <v>#VALUE!</v>
      </c>
    </row>
    <row r="115" spans="2:12" hidden="1" x14ac:dyDescent="0.25">
      <c r="B115" s="78" t="s">
        <v>38</v>
      </c>
      <c r="C115" s="41" t="e">
        <f>IF(C113&gt;C114,C113-C114,0)</f>
        <v>#VALUE!</v>
      </c>
      <c r="D115" s="41" t="e">
        <f>IF(D113&gt;D114,D113-D114,0)</f>
        <v>#VALUE!</v>
      </c>
    </row>
    <row r="116" spans="2:12" hidden="1" x14ac:dyDescent="0.25">
      <c r="B116" s="78" t="s">
        <v>39</v>
      </c>
      <c r="C116" s="82" t="e">
        <f>IF(C115&gt;F112,F112,C115)</f>
        <v>#VALUE!</v>
      </c>
      <c r="D116" s="82"/>
      <c r="E116" s="78"/>
      <c r="F116" s="82" t="e">
        <f>F112-C116</f>
        <v>#VALUE!</v>
      </c>
      <c r="G116" s="49"/>
      <c r="H116" s="49"/>
      <c r="I116" s="49"/>
      <c r="J116" s="49"/>
      <c r="K116" s="49"/>
      <c r="L116" s="49"/>
    </row>
    <row r="117" spans="2:12" hidden="1" x14ac:dyDescent="0.25">
      <c r="B117" s="78" t="s">
        <v>40</v>
      </c>
      <c r="C117" s="82"/>
      <c r="D117" s="82" t="e">
        <f>IF(D115&gt;F116,F116,D115)</f>
        <v>#VALUE!</v>
      </c>
      <c r="E117" s="78"/>
      <c r="F117" s="82" t="e">
        <f>F116-D117</f>
        <v>#VALUE!</v>
      </c>
      <c r="G117" s="49"/>
      <c r="H117" s="49"/>
      <c r="I117" s="49"/>
      <c r="J117" s="49"/>
      <c r="K117" s="49"/>
      <c r="L117" s="49"/>
    </row>
    <row r="118" spans="2:12" hidden="1" x14ac:dyDescent="0.25">
      <c r="B118" s="78"/>
      <c r="C118" s="82"/>
      <c r="D118" s="82"/>
      <c r="E118" s="78"/>
      <c r="F118" s="82"/>
      <c r="G118" s="49"/>
      <c r="H118" s="49"/>
      <c r="I118" s="49"/>
      <c r="J118" s="49"/>
      <c r="K118" s="49"/>
      <c r="L118" s="49"/>
    </row>
    <row r="119" spans="2:12" hidden="1" x14ac:dyDescent="0.25">
      <c r="B119" s="77" t="s">
        <v>52</v>
      </c>
      <c r="C119" s="82"/>
      <c r="D119" s="82"/>
      <c r="E119" s="78"/>
      <c r="F119" s="82"/>
      <c r="G119" s="49"/>
      <c r="H119" s="49"/>
      <c r="I119" s="49"/>
      <c r="J119" s="49"/>
      <c r="K119" s="49"/>
      <c r="L119" s="49"/>
    </row>
    <row r="120" spans="2:12" hidden="1" x14ac:dyDescent="0.25">
      <c r="B120" s="78" t="s">
        <v>53</v>
      </c>
      <c r="C120" s="82"/>
      <c r="D120" s="82"/>
      <c r="E120" s="78"/>
      <c r="F120" s="82" t="e">
        <f>F117</f>
        <v>#VALUE!</v>
      </c>
      <c r="G120" s="49"/>
      <c r="H120" s="49"/>
      <c r="I120" s="49"/>
      <c r="J120" s="49"/>
      <c r="K120" s="49"/>
      <c r="L120" s="49"/>
    </row>
    <row r="121" spans="2:12" hidden="1" x14ac:dyDescent="0.25">
      <c r="B121" s="78" t="s">
        <v>54</v>
      </c>
      <c r="C121" s="83" t="e">
        <f>IF(C105&gt;C109,"Yes","No")</f>
        <v>#VALUE!</v>
      </c>
      <c r="D121" s="83" t="e">
        <f>IF(C106&gt;D109,"Yes","No")</f>
        <v>#VALUE!</v>
      </c>
      <c r="E121" s="78"/>
      <c r="F121" s="82"/>
      <c r="G121" s="49"/>
      <c r="H121" s="49"/>
      <c r="I121" s="49"/>
      <c r="J121" s="49"/>
      <c r="K121" s="49"/>
      <c r="L121" s="49"/>
    </row>
    <row r="122" spans="2:12" hidden="1" x14ac:dyDescent="0.25">
      <c r="B122" s="78" t="s">
        <v>55</v>
      </c>
      <c r="C122" s="83" t="e">
        <f>IF(C105&gt;$F120,$F120,0)</f>
        <v>#VALUE!</v>
      </c>
      <c r="D122" s="83" t="e">
        <f>IF((C106-C122)&gt;$F120,$F120,0)</f>
        <v>#VALUE!</v>
      </c>
      <c r="E122" s="78"/>
      <c r="F122" s="82" t="e">
        <f>F120-C122-D122</f>
        <v>#VALUE!</v>
      </c>
      <c r="G122" s="49"/>
      <c r="H122" s="49"/>
      <c r="I122" s="49"/>
      <c r="J122" s="49"/>
      <c r="K122" s="49"/>
      <c r="L122" s="49"/>
    </row>
    <row r="123" spans="2:12" hidden="1" x14ac:dyDescent="0.25">
      <c r="B123" s="78"/>
      <c r="C123" s="83"/>
      <c r="D123" s="83"/>
      <c r="E123" s="78"/>
      <c r="F123" s="82"/>
      <c r="G123" s="49"/>
      <c r="H123" s="49"/>
      <c r="I123" s="49"/>
      <c r="J123" s="49"/>
      <c r="K123" s="49"/>
      <c r="L123" s="49"/>
    </row>
    <row r="124" spans="2:12" hidden="1" x14ac:dyDescent="0.25">
      <c r="B124" s="77" t="s">
        <v>103</v>
      </c>
      <c r="C124" s="83"/>
      <c r="D124" s="83"/>
      <c r="E124" s="78"/>
      <c r="F124" s="82"/>
      <c r="G124" s="49"/>
      <c r="H124" s="49"/>
      <c r="I124" s="49"/>
      <c r="J124" s="49"/>
      <c r="K124" s="49"/>
      <c r="L124" s="49"/>
    </row>
    <row r="125" spans="2:12" hidden="1" x14ac:dyDescent="0.25">
      <c r="B125" s="78" t="s">
        <v>106</v>
      </c>
      <c r="C125" s="83"/>
      <c r="D125" s="83"/>
      <c r="E125" s="83"/>
      <c r="F125" s="82"/>
      <c r="G125" s="49"/>
      <c r="H125" s="49"/>
      <c r="I125" s="49"/>
      <c r="J125" s="49"/>
      <c r="K125" s="49"/>
      <c r="L125" s="49"/>
    </row>
    <row r="126" spans="2:12" hidden="1" x14ac:dyDescent="0.25">
      <c r="B126" s="78" t="s">
        <v>105</v>
      </c>
      <c r="C126" s="83"/>
      <c r="D126" s="83"/>
      <c r="E126" s="83"/>
      <c r="F126" s="82"/>
      <c r="G126" s="49"/>
      <c r="H126" s="49"/>
      <c r="I126" s="49"/>
      <c r="J126" s="49"/>
      <c r="K126" s="49"/>
      <c r="L126" s="49"/>
    </row>
    <row r="127" spans="2:12" hidden="1" x14ac:dyDescent="0.25">
      <c r="B127" s="78" t="s">
        <v>104</v>
      </c>
      <c r="C127" s="83">
        <v>0</v>
      </c>
      <c r="D127" s="83">
        <v>0</v>
      </c>
      <c r="E127" s="78">
        <v>0</v>
      </c>
      <c r="F127" s="82"/>
      <c r="G127" s="49"/>
      <c r="H127" s="49"/>
      <c r="I127" s="49"/>
      <c r="J127" s="49"/>
      <c r="K127" s="49"/>
      <c r="L127" s="49"/>
    </row>
    <row r="128" spans="2:12" hidden="1" x14ac:dyDescent="0.25">
      <c r="B128" s="78"/>
      <c r="C128" s="78"/>
      <c r="D128" s="78"/>
      <c r="E128" s="78"/>
      <c r="F128" s="78"/>
    </row>
    <row r="129" spans="2:12" hidden="1" x14ac:dyDescent="0.25">
      <c r="B129" s="77" t="s">
        <v>15</v>
      </c>
      <c r="C129" s="78"/>
      <c r="D129" s="78"/>
      <c r="E129" s="78"/>
      <c r="F129" s="78"/>
    </row>
    <row r="130" spans="2:12" hidden="1" x14ac:dyDescent="0.25">
      <c r="B130" s="78" t="s">
        <v>16</v>
      </c>
      <c r="C130" s="82"/>
      <c r="D130" s="78"/>
      <c r="E130" s="78"/>
      <c r="F130" s="82" t="e">
        <f>F102-F122</f>
        <v>#VALUE!</v>
      </c>
      <c r="G130" s="49"/>
      <c r="H130" s="49"/>
      <c r="I130" s="49"/>
      <c r="J130" s="49"/>
      <c r="K130" s="49"/>
      <c r="L130" s="49"/>
    </row>
    <row r="131" spans="2:12" hidden="1" x14ac:dyDescent="0.25">
      <c r="B131" s="78" t="s">
        <v>27</v>
      </c>
      <c r="E131" s="40" t="e">
        <f>IF(K49&gt;K48,K49-K48,0)</f>
        <v>#VALUE!</v>
      </c>
    </row>
    <row r="132" spans="2:12" hidden="1" x14ac:dyDescent="0.25">
      <c r="B132" s="78"/>
      <c r="E132" s="78" t="e">
        <f>-IF(E131&gt;F130,F130,E131)</f>
        <v>#VALUE!</v>
      </c>
      <c r="F132" s="78" t="e">
        <f>F130+E132</f>
        <v>#VALUE!</v>
      </c>
    </row>
    <row r="133" spans="2:12" hidden="1" x14ac:dyDescent="0.25">
      <c r="B133" s="78" t="s">
        <v>17</v>
      </c>
      <c r="D133" s="50" t="e">
        <f>IF(J49&gt;(J53*J48),J49-J53*J48,0)</f>
        <v>#VALUE!</v>
      </c>
      <c r="E133" s="8"/>
    </row>
    <row r="134" spans="2:12" hidden="1" x14ac:dyDescent="0.25">
      <c r="B134" s="78"/>
      <c r="C134" s="78"/>
      <c r="D134" s="78" t="e">
        <f>IF(D133&gt;F132,-F132,-D133)</f>
        <v>#VALUE!</v>
      </c>
      <c r="E134" s="78"/>
      <c r="F134" s="78" t="e">
        <f>F132+D134</f>
        <v>#VALUE!</v>
      </c>
    </row>
    <row r="135" spans="2:12" hidden="1" x14ac:dyDescent="0.25">
      <c r="B135" s="78"/>
      <c r="C135" s="78"/>
      <c r="D135" s="78"/>
      <c r="E135" s="78"/>
      <c r="F135" s="78"/>
    </row>
    <row r="136" spans="2:12" hidden="1" x14ac:dyDescent="0.25">
      <c r="B136" s="78" t="s">
        <v>18</v>
      </c>
      <c r="C136" s="78"/>
      <c r="D136" s="78"/>
      <c r="E136" s="78"/>
      <c r="F136" s="78"/>
    </row>
    <row r="137" spans="2:12" hidden="1" x14ac:dyDescent="0.25">
      <c r="B137" s="78" t="s">
        <v>19</v>
      </c>
      <c r="C137" s="78"/>
      <c r="D137" s="78"/>
      <c r="E137" s="40" t="e">
        <f>IF(K49&gt;K48,K48,K49)</f>
        <v>#VALUE!</v>
      </c>
      <c r="F137" s="78"/>
    </row>
    <row r="138" spans="2:12" hidden="1" x14ac:dyDescent="0.25">
      <c r="B138" s="78" t="s">
        <v>20</v>
      </c>
      <c r="E138" s="40" t="e">
        <f>K53*K48</f>
        <v>#VALUE!</v>
      </c>
    </row>
    <row r="139" spans="2:12" hidden="1" x14ac:dyDescent="0.25">
      <c r="B139" s="78" t="s">
        <v>21</v>
      </c>
      <c r="E139" s="40" t="e">
        <f>IF(E137&gt;E138,E137-E138,0)</f>
        <v>#VALUE!</v>
      </c>
    </row>
    <row r="140" spans="2:12" hidden="1" x14ac:dyDescent="0.25">
      <c r="B140" s="78" t="s">
        <v>22</v>
      </c>
      <c r="E140" s="78" t="e">
        <f>-IF(F134&gt;E139,E139,F134)</f>
        <v>#VALUE!</v>
      </c>
      <c r="F140" s="78" t="e">
        <f>F134+E140</f>
        <v>#VALUE!</v>
      </c>
    </row>
    <row r="141" spans="2:12" hidden="1" x14ac:dyDescent="0.25"/>
    <row r="142" spans="2:12" ht="15.95" customHeight="1" x14ac:dyDescent="0.25"/>
  </sheetData>
  <sheetProtection algorithmName="SHA-512" hashValue="VgIZ7T0YjqBVCcE93hb/PwKwe4uHyn0HMzfBVHZXpk3kyiTpwZdvYmew/6zKXMxAIsbdMa0/miMW1+9QMareIg==" saltValue="i8r0mKfjifXFW0jCqBQ3AA==" spinCount="100000" sheet="1" objects="1" scenarios="1" selectLockedCells="1"/>
  <mergeCells count="7">
    <mergeCell ref="B2:E2"/>
    <mergeCell ref="C31:E31"/>
    <mergeCell ref="B40:E40"/>
    <mergeCell ref="B42:E42"/>
    <mergeCell ref="C66:E66"/>
    <mergeCell ref="O66:Q66"/>
    <mergeCell ref="I66:K66"/>
  </mergeCells>
  <conditionalFormatting sqref="C53:C54">
    <cfRule type="expression" dxfId="124" priority="76">
      <formula>$C$54="Yes"</formula>
    </cfRule>
    <cfRule type="expression" dxfId="123" priority="77">
      <formula>$C$54="No"</formula>
    </cfRule>
  </conditionalFormatting>
  <conditionalFormatting sqref="D53:D54">
    <cfRule type="expression" dxfId="122" priority="74">
      <formula>$D$54="No"</formula>
    </cfRule>
    <cfRule type="expression" dxfId="121" priority="75">
      <formula>$D$54="Yes"</formula>
    </cfRule>
  </conditionalFormatting>
  <conditionalFormatting sqref="E53:E54">
    <cfRule type="expression" dxfId="120" priority="72">
      <formula>$E$54="Yes"</formula>
    </cfRule>
    <cfRule type="expression" dxfId="119" priority="73">
      <formula>$E$54="No"</formula>
    </cfRule>
  </conditionalFormatting>
  <conditionalFormatting sqref="C55:C56">
    <cfRule type="expression" dxfId="118" priority="70">
      <formula>$C$56="No"</formula>
    </cfRule>
    <cfRule type="expression" dxfId="117" priority="71">
      <formula>$C$56="Yes"</formula>
    </cfRule>
  </conditionalFormatting>
  <conditionalFormatting sqref="D55:D56">
    <cfRule type="expression" dxfId="116" priority="68">
      <formula>$D$56="No"</formula>
    </cfRule>
    <cfRule type="expression" dxfId="115" priority="69">
      <formula>$D$56="Yes"</formula>
    </cfRule>
  </conditionalFormatting>
  <conditionalFormatting sqref="E55:E56">
    <cfRule type="expression" dxfId="114" priority="66">
      <formula>$E$56="No"</formula>
    </cfRule>
    <cfRule type="expression" dxfId="113" priority="67">
      <formula>$E$56="Yes"</formula>
    </cfRule>
  </conditionalFormatting>
  <conditionalFormatting sqref="Q55:Q56">
    <cfRule type="expression" dxfId="112" priority="54">
      <formula>$Q$56="No"</formula>
    </cfRule>
    <cfRule type="expression" dxfId="111" priority="55">
      <formula>$Q$56="Yes"</formula>
    </cfRule>
  </conditionalFormatting>
  <conditionalFormatting sqref="O53:O54">
    <cfRule type="expression" dxfId="110" priority="64">
      <formula>$O$54="Yes"</formula>
    </cfRule>
    <cfRule type="expression" dxfId="109" priority="65">
      <formula>$O$54="No"</formula>
    </cfRule>
  </conditionalFormatting>
  <conditionalFormatting sqref="P53:P54">
    <cfRule type="expression" dxfId="108" priority="62">
      <formula>$P$54="No"</formula>
    </cfRule>
    <cfRule type="expression" dxfId="107" priority="63">
      <formula>$P$54="Yes"</formula>
    </cfRule>
  </conditionalFormatting>
  <conditionalFormatting sqref="Q53:Q54">
    <cfRule type="expression" dxfId="106" priority="60">
      <formula>$Q$54="Yes"</formula>
    </cfRule>
    <cfRule type="expression" dxfId="105" priority="61">
      <formula>$Q$54="No"</formula>
    </cfRule>
  </conditionalFormatting>
  <conditionalFormatting sqref="O55:O56">
    <cfRule type="expression" dxfId="104" priority="58">
      <formula>$O$56="No"</formula>
    </cfRule>
    <cfRule type="expression" dxfId="103" priority="59">
      <formula>$O$56="Yes"</formula>
    </cfRule>
  </conditionalFormatting>
  <conditionalFormatting sqref="P55:P56">
    <cfRule type="expression" dxfId="102" priority="56">
      <formula>$P$56="No"</formula>
    </cfRule>
    <cfRule type="expression" dxfId="101" priority="57">
      <formula>$P$56="Yes"</formula>
    </cfRule>
  </conditionalFormatting>
  <conditionalFormatting sqref="O58:Q58">
    <cfRule type="expression" dxfId="100" priority="53">
      <formula>NOT(cdt)</formula>
    </cfRule>
  </conditionalFormatting>
  <conditionalFormatting sqref="E64 Q64">
    <cfRule type="expression" dxfId="99" priority="52">
      <formula>NOT(cdtd)</formula>
    </cfRule>
  </conditionalFormatting>
  <conditionalFormatting sqref="N46:Q65 N68:Q68 N66:O67 P67">
    <cfRule type="expression" dxfId="98" priority="51">
      <formula>$P$70=0</formula>
    </cfRule>
  </conditionalFormatting>
  <conditionalFormatting sqref="P70:P100">
    <cfRule type="expression" dxfId="97" priority="50">
      <formula>P70=0</formula>
    </cfRule>
  </conditionalFormatting>
  <conditionalFormatting sqref="I53:I54">
    <cfRule type="expression" dxfId="96" priority="48">
      <formula>$I$54="Yes"</formula>
    </cfRule>
    <cfRule type="expression" dxfId="95" priority="49">
      <formula>$I$54="No"</formula>
    </cfRule>
  </conditionalFormatting>
  <conditionalFormatting sqref="J53:J54">
    <cfRule type="expression" dxfId="94" priority="46">
      <formula>$J$54="No"</formula>
    </cfRule>
    <cfRule type="expression" dxfId="93" priority="47">
      <formula>$J$54="Yes"</formula>
    </cfRule>
  </conditionalFormatting>
  <conditionalFormatting sqref="K53:K54">
    <cfRule type="expression" dxfId="92" priority="44">
      <formula>$K$54="Yes"</formula>
    </cfRule>
    <cfRule type="expression" dxfId="91" priority="45">
      <formula>$K$54="No"</formula>
    </cfRule>
  </conditionalFormatting>
  <conditionalFormatting sqref="I55:I56">
    <cfRule type="expression" dxfId="90" priority="42">
      <formula>$I$56="No"</formula>
    </cfRule>
    <cfRule type="expression" dxfId="89" priority="43">
      <formula>$I$56="Yes"</formula>
    </cfRule>
  </conditionalFormatting>
  <conditionalFormatting sqref="J55:J56">
    <cfRule type="expression" dxfId="88" priority="40">
      <formula>$I$56="No"</formula>
    </cfRule>
    <cfRule type="expression" dxfId="87" priority="41">
      <formula>$I$56="Yes"</formula>
    </cfRule>
  </conditionalFormatting>
  <conditionalFormatting sqref="K55:K56">
    <cfRule type="expression" dxfId="86" priority="38">
      <formula>$K$56="No"</formula>
    </cfRule>
    <cfRule type="expression" dxfId="85" priority="39">
      <formula>$K$56="Yes"</formula>
    </cfRule>
  </conditionalFormatting>
  <conditionalFormatting sqref="K64">
    <cfRule type="expression" dxfId="84" priority="37">
      <formula>NOT(cdtd)</formula>
    </cfRule>
  </conditionalFormatting>
  <conditionalFormatting sqref="E22:E23">
    <cfRule type="expression" dxfId="83" priority="25">
      <formula>$Q$56="No"</formula>
    </cfRule>
    <cfRule type="expression" dxfId="82" priority="26">
      <formula>$Q$56="Yes"</formula>
    </cfRule>
  </conditionalFormatting>
  <conditionalFormatting sqref="C20:C21">
    <cfRule type="expression" dxfId="81" priority="35">
      <formula>$O$54="Yes"</formula>
    </cfRule>
    <cfRule type="expression" dxfId="80" priority="36">
      <formula>$O$54="No"</formula>
    </cfRule>
  </conditionalFormatting>
  <conditionalFormatting sqref="D20:D21">
    <cfRule type="expression" dxfId="79" priority="33">
      <formula>$P$54="No"</formula>
    </cfRule>
    <cfRule type="expression" dxfId="78" priority="34">
      <formula>$P$54="Yes"</formula>
    </cfRule>
  </conditionalFormatting>
  <conditionalFormatting sqref="E20:E21">
    <cfRule type="expression" dxfId="77" priority="31">
      <formula>$Q$54="Yes"</formula>
    </cfRule>
    <cfRule type="expression" dxfId="76" priority="32">
      <formula>$Q$54="No"</formula>
    </cfRule>
  </conditionalFormatting>
  <conditionalFormatting sqref="C22:C23">
    <cfRule type="expression" dxfId="75" priority="29">
      <formula>$O$56="No"</formula>
    </cfRule>
    <cfRule type="expression" dxfId="74" priority="30">
      <formula>$O$56="Yes"</formula>
    </cfRule>
  </conditionalFormatting>
  <conditionalFormatting sqref="D22:D23">
    <cfRule type="expression" dxfId="73" priority="27">
      <formula>$P$56="No"</formula>
    </cfRule>
    <cfRule type="expression" dxfId="72" priority="28">
      <formula>$P$56="Yes"</formula>
    </cfRule>
  </conditionalFormatting>
  <conditionalFormatting sqref="D35">
    <cfRule type="expression" dxfId="71" priority="23">
      <formula>yes_offset=1</formula>
    </cfRule>
  </conditionalFormatting>
  <conditionalFormatting sqref="D36">
    <cfRule type="expression" dxfId="70" priority="22">
      <formula>yes_carry=1</formula>
    </cfRule>
  </conditionalFormatting>
  <conditionalFormatting sqref="B37">
    <cfRule type="expression" dxfId="69" priority="16">
      <formula>C8=0</formula>
    </cfRule>
    <cfRule type="expression" dxfId="68" priority="17">
      <formula>C8</formula>
    </cfRule>
  </conditionalFormatting>
  <conditionalFormatting sqref="C37:D37">
    <cfRule type="expression" dxfId="67" priority="14">
      <formula>$C$8=0</formula>
    </cfRule>
    <cfRule type="expression" dxfId="66" priority="15">
      <formula>$C$8</formula>
    </cfRule>
  </conditionalFormatting>
  <conditionalFormatting sqref="E37">
    <cfRule type="expression" dxfId="65" priority="10">
      <formula>C8=0</formula>
    </cfRule>
    <cfRule type="expression" dxfId="64" priority="11">
      <formula>C8</formula>
    </cfRule>
  </conditionalFormatting>
  <conditionalFormatting sqref="E38">
    <cfRule type="expression" dxfId="63" priority="8">
      <formula>C8=0</formula>
    </cfRule>
    <cfRule type="expression" dxfId="62" priority="9">
      <formula>C8</formula>
    </cfRule>
  </conditionalFormatting>
  <conditionalFormatting sqref="C38:D38">
    <cfRule type="expression" dxfId="61" priority="6">
      <formula>$C$8=0</formula>
    </cfRule>
    <cfRule type="expression" dxfId="60" priority="7">
      <formula>$C$8</formula>
    </cfRule>
  </conditionalFormatting>
  <conditionalFormatting sqref="B38">
    <cfRule type="expression" dxfId="59" priority="4">
      <formula>C8=0</formula>
    </cfRule>
    <cfRule type="expression" dxfId="58" priority="5">
      <formula>C8</formula>
    </cfRule>
  </conditionalFormatting>
  <conditionalFormatting sqref="C16">
    <cfRule type="expression" dxfId="57" priority="3">
      <formula>C16=0</formula>
    </cfRule>
  </conditionalFormatting>
  <conditionalFormatting sqref="D16">
    <cfRule type="expression" dxfId="56" priority="2">
      <formula>D16=0</formula>
    </cfRule>
  </conditionalFormatting>
  <conditionalFormatting sqref="E16">
    <cfRule type="expression" dxfId="55" priority="1">
      <formula>E16=0</formula>
    </cfRule>
  </conditionalFormatting>
  <dataValidations count="2">
    <dataValidation type="list" allowBlank="1" showInputMessage="1" showErrorMessage="1" sqref="D3" xr:uid="{FC3A5410-F425-4960-AB5F-044CC428ED09}">
      <formula1>$E$3:$E$4</formula1>
    </dataValidation>
    <dataValidation type="decimal" allowBlank="1" showInputMessage="1" showErrorMessage="1" sqref="C5:C6 C8:C9 D12:E12 C11:C12 C35 C37:C38" xr:uid="{DB18871B-2865-48E8-858D-00A39CBF4274}">
      <formula1>0</formula1>
      <formula2>10000000</formula2>
    </dataValidation>
  </dataValidations>
  <pageMargins left="0.7" right="0.7" top="0.75" bottom="0.75" header="0.3" footer="0.3"/>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92332-F7C1-4798-9D9C-1135E5E3661E}">
  <sheetPr codeName="Sheet2"/>
  <dimension ref="B1:Y144"/>
  <sheetViews>
    <sheetView topLeftCell="A145" zoomScale="70" zoomScaleNormal="70" workbookViewId="0">
      <selection sqref="A1:XFD144"/>
    </sheetView>
  </sheetViews>
  <sheetFormatPr defaultColWidth="9.140625" defaultRowHeight="15" x14ac:dyDescent="0.25"/>
  <cols>
    <col min="1" max="1" width="5.140625" style="3" customWidth="1"/>
    <col min="2" max="2" width="33.7109375" style="3" customWidth="1"/>
    <col min="3" max="5" width="13.7109375" style="3" customWidth="1"/>
    <col min="6" max="7" width="9.140625" style="3"/>
    <col min="8" max="8" width="33.7109375" style="3" customWidth="1"/>
    <col min="9" max="11" width="13.7109375" style="3" customWidth="1"/>
    <col min="12" max="13" width="9.140625" style="3"/>
    <col min="14" max="14" width="35.42578125" style="3" customWidth="1"/>
    <col min="15" max="17" width="13.7109375" style="3" customWidth="1"/>
    <col min="18" max="18" width="9.140625" style="52"/>
    <col min="19" max="19" width="9.140625" style="52" customWidth="1"/>
    <col min="20" max="20" width="28.7109375" style="64" bestFit="1" customWidth="1"/>
    <col min="21" max="21" width="5.85546875" style="65" bestFit="1" customWidth="1"/>
    <col min="22" max="24" width="9.140625" style="52"/>
    <col min="25" max="16384" width="9.140625" style="3"/>
  </cols>
  <sheetData>
    <row r="1" spans="2:21" ht="18.75" hidden="1" x14ac:dyDescent="0.3">
      <c r="B1" s="48" t="s">
        <v>29</v>
      </c>
      <c r="E1" s="52"/>
      <c r="N1" s="63" t="s">
        <v>69</v>
      </c>
    </row>
    <row r="2" spans="2:21" hidden="1" x14ac:dyDescent="0.25"/>
    <row r="3" spans="2:21" hidden="1" x14ac:dyDescent="0.25">
      <c r="B3" s="3" t="s">
        <v>41</v>
      </c>
      <c r="D3" s="44" t="str">
        <f>'NHS offset calculator'!D3</f>
        <v>Dental</v>
      </c>
      <c r="E3" s="43" t="s">
        <v>24</v>
      </c>
      <c r="F3" s="51">
        <f>IF(AND(C5&lt;&gt;"",C6&lt;&gt;"",C12&lt;&gt;"",D12&lt;&gt;"",E12&lt;&gt;""),1,0)</f>
        <v>1</v>
      </c>
      <c r="G3" s="51"/>
      <c r="H3" s="51"/>
      <c r="I3" s="51"/>
      <c r="J3" s="51"/>
      <c r="K3" s="51"/>
      <c r="L3" s="51"/>
      <c r="M3" s="51">
        <f>IF(AND(C5&lt;&gt;"",C6&lt;&gt;"",C12&lt;&gt;""),1,0)</f>
        <v>1</v>
      </c>
      <c r="T3" s="64" t="s">
        <v>43</v>
      </c>
      <c r="U3" s="65">
        <v>0.85</v>
      </c>
    </row>
    <row r="4" spans="2:21" hidden="1" x14ac:dyDescent="0.25">
      <c r="E4" s="43" t="s">
        <v>25</v>
      </c>
      <c r="M4" s="51">
        <f>IF(AND(C5&lt;&gt;"",C6&lt;&gt;"",D12&lt;&gt;""),1,0)</f>
        <v>1</v>
      </c>
      <c r="T4" s="64" t="s">
        <v>44</v>
      </c>
      <c r="U4" s="65">
        <v>0.75</v>
      </c>
    </row>
    <row r="5" spans="2:21" hidden="1" x14ac:dyDescent="0.25">
      <c r="B5" s="3" t="str">
        <f>"Practice annual "&amp;dunit&amp;" target"</f>
        <v>Practice annual UDA target</v>
      </c>
      <c r="C5" s="1">
        <f>'NHS offset calculator'!C5</f>
        <v>0</v>
      </c>
      <c r="E5" s="43" t="str">
        <f>IF(D3=E4,"UOA","UDA")</f>
        <v>UDA</v>
      </c>
      <c r="M5" s="51">
        <f>IF(AND(C5&lt;&gt;"",C6&lt;&gt;"",E12&lt;&gt;""),1,0)</f>
        <v>1</v>
      </c>
      <c r="T5" s="64" t="s">
        <v>45</v>
      </c>
      <c r="U5" s="65">
        <v>0.9</v>
      </c>
    </row>
    <row r="6" spans="2:21" hidden="1" x14ac:dyDescent="0.25">
      <c r="B6" s="3" t="s">
        <v>0</v>
      </c>
      <c r="C6" s="2">
        <f>'NHS offset calculator'!C6</f>
        <v>0</v>
      </c>
      <c r="T6" s="64" t="s">
        <v>46</v>
      </c>
      <c r="U6" s="65">
        <v>0.85</v>
      </c>
    </row>
    <row r="7" spans="2:21" hidden="1" x14ac:dyDescent="0.25">
      <c r="B7" s="3" t="str">
        <f>"Practice "&amp;dunit&amp;" value"</f>
        <v>Practice UDA value</v>
      </c>
      <c r="C7" s="9" t="e">
        <f>IF(AND(C5&lt;&gt;"",C6&lt;&gt;""),C6/C5,"")</f>
        <v>#DIV/0!</v>
      </c>
      <c r="U7" s="65">
        <f>IF($D$3=$E$3,dl,ol)</f>
        <v>0.75</v>
      </c>
    </row>
    <row r="8" spans="2:21" hidden="1" x14ac:dyDescent="0.25">
      <c r="B8" s="3" t="str">
        <f>dunit&amp;" carry forward from 2020-2021"</f>
        <v>UDA carry forward from 2020-2021</v>
      </c>
      <c r="C8" s="89">
        <f>'NHS offset calculator'!C8</f>
        <v>0</v>
      </c>
    </row>
    <row r="9" spans="2:21" hidden="1" x14ac:dyDescent="0.25">
      <c r="C9" s="98"/>
    </row>
    <row r="10" spans="2:21" hidden="1" x14ac:dyDescent="0.25">
      <c r="B10" s="22"/>
      <c r="C10" s="99" t="s">
        <v>2</v>
      </c>
      <c r="D10" s="99" t="s">
        <v>6</v>
      </c>
      <c r="E10" s="100" t="s">
        <v>7</v>
      </c>
    </row>
    <row r="11" spans="2:21" hidden="1" x14ac:dyDescent="0.25">
      <c r="B11" s="17" t="str">
        <f>"Normal practice "&amp;dunit&amp;" target"</f>
        <v>Normal practice UDA target</v>
      </c>
      <c r="C11" s="55">
        <f>IF($C$5&lt;&gt;"",$C$5/2,"")</f>
        <v>0</v>
      </c>
      <c r="D11" s="59">
        <f>IF($C$5&lt;&gt;"",$C$5/4,"")</f>
        <v>0</v>
      </c>
      <c r="E11" s="60">
        <f>IF($C$5&lt;&gt;"",$C$5/4,"")</f>
        <v>0</v>
      </c>
    </row>
    <row r="12" spans="2:21" hidden="1" x14ac:dyDescent="0.25">
      <c r="B12" s="17" t="str">
        <f>"Practice "&amp;dunit&amp;" performance"</f>
        <v>Practice UDA performance</v>
      </c>
      <c r="C12" s="53">
        <f>'NHS offset calculator'!C12</f>
        <v>0</v>
      </c>
      <c r="D12" s="53">
        <f>'NHS offset calculator'!D12</f>
        <v>0</v>
      </c>
      <c r="E12" s="53">
        <f>'NHS offset calculator'!E12</f>
        <v>0</v>
      </c>
    </row>
    <row r="13" spans="2:21" hidden="1" x14ac:dyDescent="0.25">
      <c r="B13" s="17" t="s">
        <v>94</v>
      </c>
      <c r="C13" s="103" t="e">
        <f>C44</f>
        <v>#DIV/0!</v>
      </c>
      <c r="D13" s="104" t="e">
        <f>D44</f>
        <v>#DIV/0!</v>
      </c>
      <c r="E13" s="105" t="e">
        <f>E44</f>
        <v>#DIV/0!</v>
      </c>
    </row>
    <row r="14" spans="2:21" hidden="1" x14ac:dyDescent="0.25">
      <c r="B14" s="17"/>
      <c r="C14" s="101"/>
      <c r="D14" s="26"/>
      <c r="E14" s="27"/>
    </row>
    <row r="15" spans="2:21" hidden="1" x14ac:dyDescent="0.25">
      <c r="B15" s="17" t="s">
        <v>91</v>
      </c>
      <c r="C15" s="106" t="str">
        <f>IF(C8,C8/2,"n/a")</f>
        <v>n/a</v>
      </c>
      <c r="D15" s="106" t="str">
        <f>IF(C8,C8/4,"n/a")</f>
        <v>n/a</v>
      </c>
      <c r="E15" s="107" t="str">
        <f>IF(C8,C8/4,"n/a")</f>
        <v>n/a</v>
      </c>
    </row>
    <row r="16" spans="2:21" hidden="1" x14ac:dyDescent="0.25">
      <c r="B16" s="17" t="s">
        <v>92</v>
      </c>
      <c r="C16" s="106" t="e">
        <f>IF($P64&lt;&gt;0,O52,"n/a")</f>
        <v>#DIV/0!</v>
      </c>
      <c r="D16" s="106" t="e">
        <f>IF($P64&lt;&gt;0,P52,"n/a")</f>
        <v>#DIV/0!</v>
      </c>
      <c r="E16" s="29" t="e">
        <f>IF($P64&lt;&gt;0,Q52,"n/a")</f>
        <v>#DIV/0!</v>
      </c>
    </row>
    <row r="17" spans="2:5" hidden="1" x14ac:dyDescent="0.25">
      <c r="B17" s="17" t="s">
        <v>93</v>
      </c>
      <c r="C17" s="55" t="e">
        <f>O43</f>
        <v>#DIV/0!</v>
      </c>
      <c r="D17" s="26" t="e">
        <f>P43</f>
        <v>#DIV/0!</v>
      </c>
      <c r="E17" s="27" t="e">
        <f>Q43</f>
        <v>#DIV/0!</v>
      </c>
    </row>
    <row r="18" spans="2:5" hidden="1" x14ac:dyDescent="0.25">
      <c r="B18" s="17" t="s">
        <v>95</v>
      </c>
      <c r="C18" s="103" t="e">
        <f>O44</f>
        <v>#DIV/0!</v>
      </c>
      <c r="D18" s="104" t="e">
        <f t="shared" ref="D18:E18" si="0">P44</f>
        <v>#DIV/0!</v>
      </c>
      <c r="E18" s="105" t="e">
        <f t="shared" si="0"/>
        <v>#DIV/0!</v>
      </c>
    </row>
    <row r="19" spans="2:5" hidden="1" x14ac:dyDescent="0.25">
      <c r="B19" s="17"/>
      <c r="C19" s="101"/>
      <c r="D19" s="26"/>
      <c r="E19" s="27"/>
    </row>
    <row r="20" spans="2:5" hidden="1" x14ac:dyDescent="0.25">
      <c r="B20" s="22" t="s">
        <v>4</v>
      </c>
      <c r="C20" s="5">
        <v>0.6</v>
      </c>
      <c r="D20" s="5">
        <v>0.65</v>
      </c>
      <c r="E20" s="23">
        <v>0.85</v>
      </c>
    </row>
    <row r="21" spans="2:5" hidden="1" x14ac:dyDescent="0.25">
      <c r="B21" s="24" t="s">
        <v>5</v>
      </c>
      <c r="C21" s="7" t="s">
        <v>96</v>
      </c>
      <c r="D21" s="7" t="s">
        <v>97</v>
      </c>
      <c r="E21" s="25" t="s">
        <v>96</v>
      </c>
    </row>
    <row r="22" spans="2:5" hidden="1" x14ac:dyDescent="0.25">
      <c r="B22" s="22" t="s">
        <v>3</v>
      </c>
      <c r="C22" s="5">
        <v>0.36</v>
      </c>
      <c r="D22" s="5">
        <v>0.52</v>
      </c>
      <c r="E22" s="61">
        <v>0.75</v>
      </c>
    </row>
    <row r="23" spans="2:5" hidden="1" x14ac:dyDescent="0.25">
      <c r="B23" s="24" t="s">
        <v>5</v>
      </c>
      <c r="C23" s="7" t="s">
        <v>97</v>
      </c>
      <c r="D23" s="7" t="s">
        <v>97</v>
      </c>
      <c r="E23" s="25" t="s">
        <v>97</v>
      </c>
    </row>
    <row r="24" spans="2:5" hidden="1" x14ac:dyDescent="0.25">
      <c r="B24" s="17"/>
      <c r="C24" s="101"/>
      <c r="D24" s="26"/>
      <c r="E24" s="27"/>
    </row>
    <row r="25" spans="2:5" hidden="1" x14ac:dyDescent="0.25">
      <c r="B25" s="17" t="str">
        <f>""&amp;dunit&amp;"s to clawback"</f>
        <v>UDAs to clawback</v>
      </c>
      <c r="C25" s="101" t="e">
        <f>O54</f>
        <v>#DIV/0!</v>
      </c>
      <c r="D25" s="26" t="e">
        <f t="shared" ref="D25:E25" si="1">P54</f>
        <v>#DIV/0!</v>
      </c>
      <c r="E25" s="27" t="e">
        <f t="shared" si="1"/>
        <v>#DIV/0!</v>
      </c>
    </row>
    <row r="26" spans="2:5" hidden="1" x14ac:dyDescent="0.25">
      <c r="B26" s="17" t="s">
        <v>9</v>
      </c>
      <c r="C26" s="108" t="e">
        <f t="shared" ref="C26:E30" si="2">O55</f>
        <v>#DIV/0!</v>
      </c>
      <c r="D26" s="42" t="e">
        <f t="shared" si="2"/>
        <v>#DIV/0!</v>
      </c>
      <c r="E26" s="67" t="e">
        <f t="shared" si="2"/>
        <v>#DIV/0!</v>
      </c>
    </row>
    <row r="27" spans="2:5" hidden="1" x14ac:dyDescent="0.25">
      <c r="B27" s="17" t="str">
        <f>""&amp;dunit&amp;"s subject to adjustment"</f>
        <v>UDAs subject to adjustment</v>
      </c>
      <c r="C27" s="109" t="e">
        <f t="shared" si="2"/>
        <v>#DIV/0!</v>
      </c>
      <c r="D27" s="57" t="e">
        <f t="shared" si="2"/>
        <v>#DIV/0!</v>
      </c>
      <c r="E27" s="58" t="e">
        <f t="shared" si="2"/>
        <v>#DIV/0!</v>
      </c>
    </row>
    <row r="28" spans="2:5" hidden="1" x14ac:dyDescent="0.25">
      <c r="B28" s="17" t="s">
        <v>10</v>
      </c>
      <c r="C28" s="108" t="e">
        <f t="shared" si="2"/>
        <v>#DIV/0!</v>
      </c>
      <c r="D28" s="42" t="e">
        <f t="shared" si="2"/>
        <v>#DIV/0!</v>
      </c>
      <c r="E28" s="67" t="e">
        <f t="shared" si="2"/>
        <v>#DIV/0!</v>
      </c>
    </row>
    <row r="29" spans="2:5" hidden="1" x14ac:dyDescent="0.25">
      <c r="B29" s="17" t="s">
        <v>51</v>
      </c>
      <c r="C29" s="108" t="e">
        <f t="shared" si="2"/>
        <v>#DIV/0!</v>
      </c>
      <c r="D29" s="42" t="e">
        <f t="shared" si="2"/>
        <v>#DIV/0!</v>
      </c>
      <c r="E29" s="67" t="e">
        <f t="shared" si="2"/>
        <v>#DIV/0!</v>
      </c>
    </row>
    <row r="30" spans="2:5" hidden="1" x14ac:dyDescent="0.25">
      <c r="B30" s="17" t="s">
        <v>1</v>
      </c>
      <c r="C30" s="110" t="e">
        <f t="shared" si="2"/>
        <v>#DIV/0!</v>
      </c>
      <c r="D30" s="34" t="e">
        <f t="shared" si="2"/>
        <v>#DIV/0!</v>
      </c>
      <c r="E30" s="35" t="e">
        <f t="shared" si="2"/>
        <v>#DIV/0!</v>
      </c>
    </row>
    <row r="31" spans="2:5" hidden="1" x14ac:dyDescent="0.25">
      <c r="B31" s="17" t="str">
        <f>"Total "&amp;dunit&amp;"s performed and paid for"</f>
        <v>Total UDAs performed and paid for</v>
      </c>
      <c r="C31" s="136" t="e">
        <f>O60</f>
        <v>#DIV/0!</v>
      </c>
      <c r="D31" s="136"/>
      <c r="E31" s="151"/>
    </row>
    <row r="32" spans="2:5" hidden="1" x14ac:dyDescent="0.25">
      <c r="B32" s="17" t="s">
        <v>68</v>
      </c>
      <c r="C32" s="101"/>
      <c r="D32" s="34" t="e">
        <f>P61</f>
        <v>#DIV/0!</v>
      </c>
      <c r="E32" s="27"/>
    </row>
    <row r="33" spans="2:25" hidden="1" x14ac:dyDescent="0.25">
      <c r="B33" s="112" t="s">
        <v>11</v>
      </c>
      <c r="C33" s="101"/>
      <c r="D33" s="111" t="e">
        <f>P62</f>
        <v>#DIV/0!</v>
      </c>
      <c r="E33" s="27"/>
    </row>
    <row r="34" spans="2:25" hidden="1" x14ac:dyDescent="0.25">
      <c r="B34" s="112"/>
      <c r="C34" s="101"/>
      <c r="D34" s="111"/>
      <c r="E34" s="27"/>
    </row>
    <row r="35" spans="2:25" hidden="1" x14ac:dyDescent="0.25">
      <c r="B35" s="113" t="s">
        <v>98</v>
      </c>
      <c r="C35" s="101"/>
      <c r="D35" s="114" t="e">
        <f>IF(cdt,IF((P62-J62)&gt;0,P62-J62,"No offsetting"))</f>
        <v>#DIV/0!</v>
      </c>
      <c r="E35" s="27"/>
    </row>
    <row r="36" spans="2:25" hidden="1" x14ac:dyDescent="0.25">
      <c r="B36" s="115" t="s">
        <v>99</v>
      </c>
      <c r="C36" s="6"/>
      <c r="D36" s="116" t="e">
        <f>IF(cdt,IF((J62-D62)&gt;0,J62-D62,"No carry forward"))</f>
        <v>#DIV/0!</v>
      </c>
      <c r="E36" s="38"/>
    </row>
    <row r="37" spans="2:25" hidden="1" x14ac:dyDescent="0.25">
      <c r="C37" s="98"/>
    </row>
    <row r="38" spans="2:25" hidden="1" x14ac:dyDescent="0.25">
      <c r="C38" s="98"/>
    </row>
    <row r="39" spans="2:25" hidden="1" x14ac:dyDescent="0.25">
      <c r="U39" s="65" t="b">
        <f>IF(D3="Orthodontic",1)</f>
        <v>0</v>
      </c>
    </row>
    <row r="40" spans="2:25" hidden="1" x14ac:dyDescent="0.25">
      <c r="B40" s="15" t="s">
        <v>8</v>
      </c>
      <c r="C40" s="4"/>
      <c r="D40" s="4"/>
      <c r="E40" s="16"/>
      <c r="H40" s="15" t="s">
        <v>90</v>
      </c>
      <c r="I40" s="4"/>
      <c r="J40" s="4"/>
      <c r="K40" s="16"/>
      <c r="N40" s="15" t="s">
        <v>12</v>
      </c>
      <c r="O40" s="4"/>
      <c r="P40" s="4"/>
      <c r="Q40" s="16"/>
      <c r="T40" s="64" t="s">
        <v>47</v>
      </c>
      <c r="U40" s="65" t="e">
        <f>IF((E12/E42)&lt;lowerthresh,E12,IF((E12/E42)&lt;E47,E12/0.85,IF(E12/E42&gt;1,E12,E42)))</f>
        <v>#DIV/0!</v>
      </c>
    </row>
    <row r="41" spans="2:25" hidden="1" x14ac:dyDescent="0.25">
      <c r="B41" s="17"/>
      <c r="C41" s="18" t="s">
        <v>2</v>
      </c>
      <c r="D41" s="18" t="s">
        <v>6</v>
      </c>
      <c r="E41" s="19" t="s">
        <v>7</v>
      </c>
      <c r="H41" s="17"/>
      <c r="I41" s="18" t="s">
        <v>2</v>
      </c>
      <c r="J41" s="18" t="s">
        <v>6</v>
      </c>
      <c r="K41" s="19" t="s">
        <v>7</v>
      </c>
      <c r="N41" s="17"/>
      <c r="O41" s="18" t="s">
        <v>2</v>
      </c>
      <c r="P41" s="18" t="s">
        <v>6</v>
      </c>
      <c r="Q41" s="19" t="s">
        <v>7</v>
      </c>
      <c r="T41" s="71" t="s">
        <v>48</v>
      </c>
      <c r="U41" s="65" t="e">
        <f>IF((E12/E42)&lt;lowerthresh,E12,IF((E12/E42)&lt;E47,E12*(2*E44-0.8),IF(E12/E42&gt;1,E12,E42)))</f>
        <v>#DIV/0!</v>
      </c>
    </row>
    <row r="42" spans="2:25" hidden="1" x14ac:dyDescent="0.25">
      <c r="B42" s="17" t="str">
        <f>"Normal practice "&amp;dunit&amp;" target"</f>
        <v>Normal practice UDA target</v>
      </c>
      <c r="C42" s="59">
        <f>IF($C$5&lt;&gt;"",$C$5/2,"")</f>
        <v>0</v>
      </c>
      <c r="D42" s="59">
        <f>IF($C$5&lt;&gt;"",$C$5/4,"")</f>
        <v>0</v>
      </c>
      <c r="E42" s="60">
        <f>IF($C$5&lt;&gt;"",$C$5/4,"")</f>
        <v>0</v>
      </c>
      <c r="H42" s="17" t="str">
        <f>"Normal practice "&amp;dunit&amp;" target"</f>
        <v>Normal practice UDA target</v>
      </c>
      <c r="I42" s="59">
        <f>IF($C$5&lt;&gt;"",$C$5/2,"")</f>
        <v>0</v>
      </c>
      <c r="J42" s="59">
        <f>IF($C$5&lt;&gt;"",$C$5/4,"")</f>
        <v>0</v>
      </c>
      <c r="K42" s="60">
        <f>IF($C$5&lt;&gt;"",$C$5/4,"")</f>
        <v>0</v>
      </c>
      <c r="N42" s="62" t="str">
        <f>"Normal practice "&amp;dunit&amp;" target"</f>
        <v>Normal practice UDA target</v>
      </c>
      <c r="O42" s="59">
        <f>IF($C$5&lt;&gt;"",$C$5/2,"")</f>
        <v>0</v>
      </c>
      <c r="P42" s="59">
        <f>IF($C$5&lt;&gt;"",$C$5/4,"")</f>
        <v>0</v>
      </c>
      <c r="Q42" s="60">
        <f>IF($C$5&lt;&gt;"",$C$5/4,"")</f>
        <v>0</v>
      </c>
      <c r="U42" s="72" t="e">
        <f>U41/E42</f>
        <v>#DIV/0!</v>
      </c>
    </row>
    <row r="43" spans="2:25" hidden="1" x14ac:dyDescent="0.25">
      <c r="B43" s="17" t="str">
        <f>"Practice "&amp;dunit&amp;" performance"</f>
        <v>Practice UDA performance</v>
      </c>
      <c r="C43" s="102">
        <f>C12</f>
        <v>0</v>
      </c>
      <c r="D43" s="102">
        <f>D12</f>
        <v>0</v>
      </c>
      <c r="E43" s="60">
        <f>E12</f>
        <v>0</v>
      </c>
      <c r="F43" s="39"/>
      <c r="G43" s="39"/>
      <c r="H43" s="17" t="str">
        <f>"Practice "&amp;dunit&amp;" performance with C/F"</f>
        <v>Practice UDA performance with C/F</v>
      </c>
      <c r="I43" s="96">
        <f>C12+0.5*C8</f>
        <v>0</v>
      </c>
      <c r="J43" s="96">
        <f>D12+0.25*C8</f>
        <v>0</v>
      </c>
      <c r="K43" s="97">
        <f>E12+0.25*C8</f>
        <v>0</v>
      </c>
      <c r="L43" s="39"/>
      <c r="N43" s="17" t="str">
        <f>"Adjusted practice "&amp;dunit&amp;" performance"</f>
        <v>Adjusted practice UDA performance</v>
      </c>
      <c r="O43" s="55" t="e">
        <f>IF(I43&lt;&gt;"",I43+O52,"")</f>
        <v>#DIV/0!</v>
      </c>
      <c r="P43" s="55" t="e">
        <f>IF(J43&lt;&gt;"",J43+P52,"")</f>
        <v>#DIV/0!</v>
      </c>
      <c r="Q43" s="56" t="e">
        <f>IF(13&lt;&gt;"",K43+Q52,"")</f>
        <v>#DIV/0!</v>
      </c>
    </row>
    <row r="44" spans="2:25" hidden="1" x14ac:dyDescent="0.25">
      <c r="B44" s="17" t="s">
        <v>26</v>
      </c>
      <c r="C44" s="11" t="e">
        <f>IF(cdtb,C12/C42,"")</f>
        <v>#DIV/0!</v>
      </c>
      <c r="D44" s="11" t="e">
        <f>IF(cdtc,D12/D42,"")</f>
        <v>#DIV/0!</v>
      </c>
      <c r="E44" s="12" t="e">
        <f>IF(cdtd,E12/E42,"")</f>
        <v>#DIV/0!</v>
      </c>
      <c r="F44" s="39"/>
      <c r="G44" s="39"/>
      <c r="H44" s="17" t="s">
        <v>26</v>
      </c>
      <c r="I44" s="11" t="e">
        <f>IF(cdtb,I43/I42,"")</f>
        <v>#DIV/0!</v>
      </c>
      <c r="J44" s="11" t="e">
        <f>IF(cdtc,J43/J42,"")</f>
        <v>#DIV/0!</v>
      </c>
      <c r="K44" s="12" t="e">
        <f>IF(cdtd,K43/K42,"")</f>
        <v>#DIV/0!</v>
      </c>
      <c r="L44" s="39"/>
      <c r="N44" s="17" t="s">
        <v>26</v>
      </c>
      <c r="O44" s="11" t="e">
        <f>IF(cdtb,O43/O42,"")</f>
        <v>#DIV/0!</v>
      </c>
      <c r="P44" s="11" t="e">
        <f>IF(cdtc,IF(cdtc,P43/P42,0),"")</f>
        <v>#DIV/0!</v>
      </c>
      <c r="Q44" s="12" t="e">
        <f>IF(cdtd,IF(cdtd,Q43/Q42,0),"")</f>
        <v>#DIV/0!</v>
      </c>
      <c r="T44" s="64" t="s">
        <v>49</v>
      </c>
      <c r="U44" s="65" t="e">
        <f>IF((Q43/Q42)&lt;lowerthresh,Q43,IF((Q43/Q42)&lt;Q47,Q43/0.85,IF(Q43/Q42&gt;1,Q43,Q42)))</f>
        <v>#DIV/0!</v>
      </c>
    </row>
    <row r="45" spans="2:25" hidden="1" x14ac:dyDescent="0.25">
      <c r="B45" s="17"/>
      <c r="C45" s="13"/>
      <c r="D45" s="13"/>
      <c r="E45" s="14"/>
      <c r="F45" s="39"/>
      <c r="G45" s="39"/>
      <c r="H45" s="17"/>
      <c r="I45" s="42"/>
      <c r="J45" s="42"/>
      <c r="K45" s="67"/>
      <c r="L45" s="39"/>
      <c r="N45" s="17"/>
      <c r="O45" s="13"/>
      <c r="P45" s="13"/>
      <c r="Q45" s="14"/>
      <c r="T45" s="64" t="s">
        <v>50</v>
      </c>
      <c r="U45" s="65" t="e">
        <f>IF((Q43/Q42)&lt;lowerthresh,Q43,IF((Q43/Q42)&lt;Q47,Q43*(2*Q44-0.8),IF(Q43/Q42&gt;1,Q43,Q42)))</f>
        <v>#DIV/0!</v>
      </c>
      <c r="Y45"/>
    </row>
    <row r="46" spans="2:25" hidden="1" x14ac:dyDescent="0.25">
      <c r="B46" s="17" t="str">
        <f>"Presumed "&amp;dunit&amp;" performance"</f>
        <v>Presumed UDA performance</v>
      </c>
      <c r="C46" s="20" t="e">
        <f>IF(cdtb,IF((C12/C42)&lt;C49,C12,IF((C12/C42)&lt;C47,C12/C47,IF(C12/C42&gt;1,C12,C42))),"")</f>
        <v>#DIV/0!</v>
      </c>
      <c r="D46" s="20" t="e">
        <f>IF(cdtc,IF((D12/D42)&lt;D49,D12,IF((D12/D42)&lt;D47,D12/D47,IF(D12/D42&gt;1,D12,D42))),"")</f>
        <v>#DIV/0!</v>
      </c>
      <c r="E46" s="21" t="e">
        <f>IF(cdtd,IF(ortho,U41,U40),"")</f>
        <v>#DIV/0!</v>
      </c>
      <c r="F46" s="39"/>
      <c r="G46" s="39"/>
      <c r="H46" s="17" t="str">
        <f>"Presumed "&amp;dunit&amp;" performance"</f>
        <v>Presumed UDA performance</v>
      </c>
      <c r="I46" s="20" t="e">
        <f>IF(cdtb,IF((I43/I42)&lt;I49,I43,IF((I43/I42)&lt;I47,I43/I47,IF(I43/I42&gt;1,I43,I42))),"")</f>
        <v>#DIV/0!</v>
      </c>
      <c r="J46" s="20" t="e">
        <f>IF(cdtc,IF((J43/J42)&lt;J49,J43,IF((J43/J42)&lt;J47,J43/J47,IF(J43/J42&gt;1,J43,J42))),"")</f>
        <v>#DIV/0!</v>
      </c>
      <c r="K46" s="21">
        <f>IF(cdtd,IF(ortho,AA41,AA40),"")</f>
        <v>0</v>
      </c>
      <c r="L46" s="39"/>
      <c r="N46" s="17" t="str">
        <f>"Presumed "&amp;dunit&amp;" performance"</f>
        <v>Presumed UDA performance</v>
      </c>
      <c r="O46" s="20" t="e">
        <f>IF(cdtb,IF((O43/O42)&lt;O49,O43,IF((O43/O42)&lt;O47,O43/O47,IF(O43/O42&gt;1,O43,O42))),"")</f>
        <v>#DIV/0!</v>
      </c>
      <c r="P46" s="20" t="e">
        <f>IF(cdtc,IF((P43/P42)&lt;P49,P43,IF((P43/P42)&lt;P47,P43/P47,IF(P43/P42&gt;1,P43,P42))),"")</f>
        <v>#DIV/0!</v>
      </c>
      <c r="Q46" s="21" t="e">
        <f>IF(cdtd,IF(ortho,U45,U44),"")</f>
        <v>#DIV/0!</v>
      </c>
      <c r="Y46"/>
    </row>
    <row r="47" spans="2:25" hidden="1" x14ac:dyDescent="0.25">
      <c r="B47" s="22" t="s">
        <v>4</v>
      </c>
      <c r="C47" s="5">
        <f>IF($D$3=$E$3,0.6,0.8)</f>
        <v>0.6</v>
      </c>
      <c r="D47" s="5">
        <f>IF($D$3=$E$3,0.65,0.85)</f>
        <v>0.65</v>
      </c>
      <c r="E47" s="23">
        <f>IF($D$3=$E$3,du,ou)</f>
        <v>0.85</v>
      </c>
      <c r="F47" s="39"/>
      <c r="G47" s="39"/>
      <c r="H47" s="22" t="s">
        <v>4</v>
      </c>
      <c r="I47" s="5">
        <f>IF($D$3=$E$3,0.6,0.8)</f>
        <v>0.6</v>
      </c>
      <c r="J47" s="5">
        <f>IF($D$3=$E$3,0.65,0.85)</f>
        <v>0.65</v>
      </c>
      <c r="K47" s="23">
        <f>IF($D$3=$E$3,du,ou)</f>
        <v>0.85</v>
      </c>
      <c r="L47" s="39"/>
      <c r="N47" s="22" t="s">
        <v>4</v>
      </c>
      <c r="O47" s="5">
        <f t="shared" ref="O47" si="3">IF($D$3=$E$3,0.6,0.8)</f>
        <v>0.6</v>
      </c>
      <c r="P47" s="5">
        <f>IF($D$3=$E$3,0.65,0.85)</f>
        <v>0.65</v>
      </c>
      <c r="Q47" s="23">
        <f>IF($D$3=$E$3,du,ou)</f>
        <v>0.85</v>
      </c>
      <c r="T47" s="64" t="s">
        <v>56</v>
      </c>
      <c r="U47" s="65">
        <f>IF(D3="Dental",1.1,1)</f>
        <v>1.1000000000000001</v>
      </c>
      <c r="Y47"/>
    </row>
    <row r="48" spans="2:25" hidden="1" x14ac:dyDescent="0.25">
      <c r="B48" s="24" t="s">
        <v>5</v>
      </c>
      <c r="C48" s="7" t="e">
        <f>IF(cdtb,IF((C12/C42)&gt;=C47,"Yes","No"),"")</f>
        <v>#DIV/0!</v>
      </c>
      <c r="D48" s="7" t="e">
        <f>IF(cdtc,IF((D12/D42)&gt;=D47,"Yes","No"),"")</f>
        <v>#DIV/0!</v>
      </c>
      <c r="E48" s="25" t="e">
        <f>IF(cdtd,IF((E12/E42)&gt;=E47,"Yes","No"),"")</f>
        <v>#DIV/0!</v>
      </c>
      <c r="F48" s="39"/>
      <c r="G48" s="39"/>
      <c r="H48" s="24" t="s">
        <v>5</v>
      </c>
      <c r="I48" s="7" t="e">
        <f>IF(cdtb,IF((I43/I42)&gt;=I47,"Yes","No"),"")</f>
        <v>#DIV/0!</v>
      </c>
      <c r="J48" s="7" t="e">
        <f>IF(cdtc,IF((J43/J42)&gt;=J47,"Yes","No"),"")</f>
        <v>#DIV/0!</v>
      </c>
      <c r="K48" s="25" t="e">
        <f>IF(cdtd,IF((K43/K42)&gt;=K47,"Yes","No"),"")</f>
        <v>#DIV/0!</v>
      </c>
      <c r="L48" s="39"/>
      <c r="N48" s="24" t="s">
        <v>5</v>
      </c>
      <c r="O48" s="7" t="e">
        <f>IF(cdtb,IF((O43/O42)&gt;=O47,"Yes","No"),"")</f>
        <v>#DIV/0!</v>
      </c>
      <c r="P48" s="7" t="e">
        <f>IF(cdtc,IF((P43/P42)&gt;=P47,"Yes","No"),"")</f>
        <v>#DIV/0!</v>
      </c>
      <c r="Q48" s="25" t="e">
        <f>IF(cdtd,IF((Q43/Q42)&gt;=Q47,"Yes","No"),"")</f>
        <v>#DIV/0!</v>
      </c>
      <c r="T48" s="64" t="s">
        <v>57</v>
      </c>
      <c r="U48" s="73">
        <f>C5*U47</f>
        <v>0</v>
      </c>
    </row>
    <row r="49" spans="2:21" hidden="1" x14ac:dyDescent="0.25">
      <c r="B49" s="22" t="s">
        <v>3</v>
      </c>
      <c r="C49" s="5">
        <f>IF($D$3=$E$3,0.36,0.56)</f>
        <v>0.36</v>
      </c>
      <c r="D49" s="5">
        <f>IF($D$3=$E$3,0.52,0.6)</f>
        <v>0.52</v>
      </c>
      <c r="E49" s="61">
        <f>IF($D$3=$E$3,dl,ol)</f>
        <v>0.75</v>
      </c>
      <c r="F49" s="39"/>
      <c r="G49" s="39"/>
      <c r="H49" s="22" t="s">
        <v>3</v>
      </c>
      <c r="I49" s="5">
        <f>IF($D$3=$E$3,0.36,0.56)</f>
        <v>0.36</v>
      </c>
      <c r="J49" s="5">
        <f>IF($D$3=$E$3,0.52,0.6)</f>
        <v>0.52</v>
      </c>
      <c r="K49" s="61">
        <f>IF($D$3=$E$3,dl,ol)</f>
        <v>0.75</v>
      </c>
      <c r="L49" s="39"/>
      <c r="N49" s="22" t="s">
        <v>3</v>
      </c>
      <c r="O49" s="5">
        <f>IF($D$3=$E$3,0.36,0.56)</f>
        <v>0.36</v>
      </c>
      <c r="P49" s="5">
        <f>IF($D$3=$E$3,0.52,0.6)</f>
        <v>0.52</v>
      </c>
      <c r="Q49" s="61">
        <f>IF($D$3=$E$3,dl,ol)</f>
        <v>0.75</v>
      </c>
      <c r="T49" s="64" t="s">
        <v>58</v>
      </c>
      <c r="U49" s="74">
        <f>IF(SUM(C12:E12)&gt;=C5,1,0)</f>
        <v>1</v>
      </c>
    </row>
    <row r="50" spans="2:21" hidden="1" x14ac:dyDescent="0.25">
      <c r="B50" s="24" t="s">
        <v>5</v>
      </c>
      <c r="C50" s="7" t="e">
        <f>IF(cdtb,IF((C12/C42)&gt;=C49,"Yes","No"),"")</f>
        <v>#DIV/0!</v>
      </c>
      <c r="D50" s="7" t="e">
        <f>IF(cdtc,IF((D12/D42)&gt;=D49,"Yes","No"),"")</f>
        <v>#DIV/0!</v>
      </c>
      <c r="E50" s="25" t="e">
        <f>IF(cdtd,IF((E12/E42)&gt;=E49,"Yes","No"),"")</f>
        <v>#DIV/0!</v>
      </c>
      <c r="F50" s="39"/>
      <c r="G50" s="39"/>
      <c r="H50" s="24" t="s">
        <v>5</v>
      </c>
      <c r="I50" s="7" t="e">
        <f>IF(cdtb,IF((I43/I42)&gt;=I49,"Yes","No"),"")</f>
        <v>#DIV/0!</v>
      </c>
      <c r="J50" s="7" t="e">
        <f>IF(cdtc,IF((J43/J42)&gt;=J49,"Yes","No"),"")</f>
        <v>#DIV/0!</v>
      </c>
      <c r="K50" s="25" t="e">
        <f>IF(cdtd,IF((K43/K42)&gt;=K49,"Yes","No"),"")</f>
        <v>#DIV/0!</v>
      </c>
      <c r="L50" s="39"/>
      <c r="N50" s="24" t="s">
        <v>5</v>
      </c>
      <c r="O50" s="7" t="e">
        <f>IF(cdtb,IF((O43/O42)&gt;=O49,"Yes","No"),"")</f>
        <v>#DIV/0!</v>
      </c>
      <c r="P50" s="7" t="e">
        <f>IF(cdtc,IF((P43/P42)&gt;=P49,"Yes","No"),"")</f>
        <v>#DIV/0!</v>
      </c>
      <c r="Q50" s="25" t="e">
        <f>IF(cdtd,IF((Q43/Q42)&gt;=Q49,"Yes","No"),"")</f>
        <v>#DIV/0!</v>
      </c>
      <c r="T50" s="64" t="s">
        <v>59</v>
      </c>
      <c r="U50" s="73" t="e">
        <f>IF(SUM(C46:E46)&gt;C5,C5,SUM(C46:E46))</f>
        <v>#DIV/0!</v>
      </c>
    </row>
    <row r="51" spans="2:21" hidden="1" x14ac:dyDescent="0.25">
      <c r="B51" s="17"/>
      <c r="C51" s="26"/>
      <c r="D51" s="26"/>
      <c r="E51" s="27"/>
      <c r="F51" s="39"/>
      <c r="G51" s="39"/>
      <c r="H51" s="17"/>
      <c r="I51" s="42"/>
      <c r="J51" s="42"/>
      <c r="K51" s="67"/>
      <c r="L51" s="39"/>
      <c r="N51" s="17"/>
      <c r="O51" s="26"/>
      <c r="P51" s="26"/>
      <c r="Q51" s="27"/>
      <c r="T51" s="64" t="s">
        <v>60</v>
      </c>
      <c r="U51" s="73" t="e">
        <f>IF(SUM(O46:Q46)&gt;C5,C5,SUM(O46:Q46))</f>
        <v>#DIV/0!</v>
      </c>
    </row>
    <row r="52" spans="2:21" hidden="1" x14ac:dyDescent="0.25">
      <c r="B52" s="17" t="str">
        <f>""&amp;dunit&amp;"s to offset"</f>
        <v>UDAs to offset</v>
      </c>
      <c r="C52" s="28"/>
      <c r="D52" s="57"/>
      <c r="E52" s="58"/>
      <c r="F52" s="9"/>
      <c r="G52" s="9"/>
      <c r="H52" s="17" t="str">
        <f>""&amp;dunit&amp;"s to offset"</f>
        <v>UDAs to offset</v>
      </c>
      <c r="I52" s="34"/>
      <c r="J52" s="57" t="e">
        <f>IF(cdtc,IF(J48="Yes",J43-J42*J47,0),"")</f>
        <v>#DIV/0!</v>
      </c>
      <c r="K52" s="58" t="e">
        <f>IF(cdtd,IF(K48="Yes",K43-K42*K47,0),"")</f>
        <v>#DIV/0!</v>
      </c>
      <c r="L52" s="9"/>
      <c r="N52" s="17" t="str">
        <f>"Adjustment to "&amp;dunit&amp;"s from offset"</f>
        <v>Adjustment to UDAs from offset</v>
      </c>
      <c r="O52" s="28" t="e">
        <f>IF(cdt,SUM(C103,C110,C116,C121),0)</f>
        <v>#DIV/0!</v>
      </c>
      <c r="P52" s="28" t="e">
        <f>IF(cdt,SUM(D103,D111,D116,D128,D121),0)</f>
        <v>#DIV/0!</v>
      </c>
      <c r="Q52" s="27" t="e">
        <f>IF(cdt,SUM(E126,E134,E121),0)</f>
        <v>#DIV/0!</v>
      </c>
      <c r="T52" s="64" t="s">
        <v>61</v>
      </c>
      <c r="U52" s="73">
        <f>IF(SUM(C12:E12)&gt;U47*C5,U47*C5,SUM(C12:E12))</f>
        <v>0</v>
      </c>
    </row>
    <row r="53" spans="2:21" hidden="1" x14ac:dyDescent="0.25">
      <c r="B53" s="17"/>
      <c r="C53" s="28"/>
      <c r="D53" s="26"/>
      <c r="E53" s="27"/>
      <c r="F53" s="9"/>
      <c r="G53" s="9"/>
      <c r="H53" s="17"/>
      <c r="I53" s="34"/>
      <c r="J53" s="34"/>
      <c r="K53" s="35"/>
      <c r="L53" s="9"/>
      <c r="N53" s="17"/>
      <c r="O53" s="28"/>
      <c r="P53" s="26"/>
      <c r="Q53" s="27"/>
      <c r="T53" s="64" t="s">
        <v>62</v>
      </c>
      <c r="U53" s="73" t="e">
        <f>IF(SUM(O43:Q43)&gt;U47*C5,U47*C5,SUM(O43:Q43))</f>
        <v>#DIV/0!</v>
      </c>
    </row>
    <row r="54" spans="2:21" hidden="1" x14ac:dyDescent="0.25">
      <c r="B54" s="17" t="str">
        <f>""&amp;dunit&amp;"s to clawback"</f>
        <v>UDAs to clawback</v>
      </c>
      <c r="C54" s="28" t="e">
        <f>IF(cdtb,ROUND(IF((C12/C42)&lt;C49,C42-C12,IF((C12/C42)&lt;C47,(C42-C12/C47),0)),1),"")</f>
        <v>#DIV/0!</v>
      </c>
      <c r="D54" s="28" t="e">
        <f>IF(cdtc,ROUND(IF((D12/D42)&lt;D49,D42-D12,IF((D12/D42)&lt;D47,(D42-D12/D47),0)),1),"")</f>
        <v>#DIV/0!</v>
      </c>
      <c r="E54" s="29" t="e">
        <f>IF(cdtd,ROUND(IF((E12/E42)&lt;lowerthresh,E42-E12,IF((E12/E42)&lt;E47,(E42-E12/E47),0)),1),"")</f>
        <v>#DIV/0!</v>
      </c>
      <c r="F54" s="9"/>
      <c r="G54" s="9"/>
      <c r="H54" s="17" t="str">
        <f>""&amp;dunit&amp;"s to clawback"</f>
        <v>UDAs to clawback</v>
      </c>
      <c r="I54" s="28" t="e">
        <f>IF(cdtb,ROUND(IF((I43/I42)&lt;I49,I42-I43,IF((I43/I42)&lt;I47,(I42-I43/I47),0)),1),"")</f>
        <v>#DIV/0!</v>
      </c>
      <c r="J54" s="28" t="e">
        <f>IF(cdtc,ROUND(IF((J43/J42)&lt;J49,J42-J43,IF((J43/J42)&lt;J47,(J42-J43/J47),0)),1),"")</f>
        <v>#DIV/0!</v>
      </c>
      <c r="K54" s="29" t="e">
        <f>IF(cdtd,ROUND(IF((K43/K42)&lt;lowerthresh,K42-K43,IF((K43/K42)&lt;K47,(K42-K43/K47),0)),1),"")</f>
        <v>#DIV/0!</v>
      </c>
      <c r="L54" s="9"/>
      <c r="N54" s="17" t="str">
        <f>""&amp;dunit&amp;"s to clawback"</f>
        <v>UDAs to clawback</v>
      </c>
      <c r="O54" s="28" t="e">
        <f>IF(cdtb,ROUND(IF((O43/O42)&lt;O49,O42-O43,IF((O43/O42)&lt;O47,(O42-O43/O47),0)),1),"")</f>
        <v>#DIV/0!</v>
      </c>
      <c r="P54" s="28" t="e">
        <f>IF(cdtc,ROUND(IF((P43/P42)&lt;P49,P42-P43,IF((P43/P42)&lt;P47,(P42-P43/P47),0)),1),"")</f>
        <v>#DIV/0!</v>
      </c>
      <c r="Q54" s="29" t="e">
        <f>IF(cdtd,ROUND(IF((Q43/Q42)&lt;lowerthresh,Q42-Q43,IF((Q43/Q42)&lt;Q47,(Q42-Q43/Q47),0)),1),"")</f>
        <v>#DIV/0!</v>
      </c>
      <c r="T54" s="64" t="s">
        <v>63</v>
      </c>
      <c r="U54" s="74">
        <f>IF(U49,U52,U50)</f>
        <v>0</v>
      </c>
    </row>
    <row r="55" spans="2:21" hidden="1" x14ac:dyDescent="0.25">
      <c r="B55" s="17" t="s">
        <v>9</v>
      </c>
      <c r="C55" s="30" t="e">
        <f>IF(cdtb,IF((C12/C42)&lt;C49,$C$6/2-$C$7*C12,IF((C12/C42)&lt;C47,(C42-C12/C47)*$C$7,0)),"")</f>
        <v>#DIV/0!</v>
      </c>
      <c r="D55" s="30" t="e">
        <f>IF(cdtc,IF((D12/D42)&lt;D49,$C$6/4-$C$7*D12,IF((D12/D42)&lt;D47,(D42-D12/D47)*$C$7,0)),"")</f>
        <v>#DIV/0!</v>
      </c>
      <c r="E55" s="31" t="e">
        <f>IF(cdtd,IF((E12/E42)&lt;lowerthresh,$C$6/4-$C$7*E12,IF((E12/E42)&lt;E47,(E42-E12/E47)*$C$7,0)),"")</f>
        <v>#DIV/0!</v>
      </c>
      <c r="F55" s="9"/>
      <c r="G55" s="9"/>
      <c r="H55" s="17" t="s">
        <v>9</v>
      </c>
      <c r="I55" s="30" t="e">
        <f>IF(cdtb,IF((I43/I42)&lt;I49,$C$6/2-$C$7*I43,IF((I43/I42)&lt;I47,(I42-I43/I47)*$C$7,0)),"")</f>
        <v>#DIV/0!</v>
      </c>
      <c r="J55" s="30" t="e">
        <f>IF(cdtc,IF((J43/J42)&lt;J49,$C$6/4-$C$7*J43,IF((J43/J42)&lt;J47,(J42-J43/J47)*$C$7,0)),"")</f>
        <v>#DIV/0!</v>
      </c>
      <c r="K55" s="31" t="e">
        <f>IF(cdtd,IF((K43/K42)&lt;lowerthresh,$C$6/4-$C$7*K43,IF((K43/K42)&lt;K47,(K42-K43/K47)*$C$7,0)),"")</f>
        <v>#DIV/0!</v>
      </c>
      <c r="L55" s="9"/>
      <c r="N55" s="17" t="s">
        <v>9</v>
      </c>
      <c r="O55" s="30" t="e">
        <f>IF(cdtb,IF((O43/O42)&lt;O49,$C$6/2-$C$7*O43,IF((O43/O42)&lt;O47,(O42-O43/O47)*$C$7,0)),"")</f>
        <v>#DIV/0!</v>
      </c>
      <c r="P55" s="30" t="e">
        <f>IF(cdtc,IF((P43/P42)&lt;P49,$C$6/4-$C$7*P43,IF((P43/P42)&lt;P47,(P42-P43/P47)*$C$7,0)),"")</f>
        <v>#DIV/0!</v>
      </c>
      <c r="Q55" s="31" t="e">
        <f>IF(cdtd,IF((Q43/Q42)&lt;lowerthresh,$C$6/4-$C$7*Q43,IF((Q43/Q42)&lt;Q47,(Q42-Q43/Q47)*$C$7,0)),"")</f>
        <v>#DIV/0!</v>
      </c>
      <c r="T55" s="64" t="s">
        <v>64</v>
      </c>
      <c r="U55" s="74" t="e">
        <f>IF(U49,U53,U51)</f>
        <v>#DIV/0!</v>
      </c>
    </row>
    <row r="56" spans="2:21" hidden="1" x14ac:dyDescent="0.25">
      <c r="B56" s="17" t="str">
        <f>""&amp;dunit&amp;"s subject to adjustment"</f>
        <v>UDAs subject to adjustment</v>
      </c>
      <c r="C56" s="32" t="e">
        <f>IF(cdtb,IF(C12&gt;C42,0,ROUND(C42-C12-C54,1)),"")</f>
        <v>#DIV/0!</v>
      </c>
      <c r="D56" s="32" t="e">
        <f>IF(cdtc,IF(D12&gt;D42,0,ROUND(D42-D12-D54,1)),"")</f>
        <v>#DIV/0!</v>
      </c>
      <c r="E56" s="33" t="e">
        <f>IF(cdtd,IF(E12&gt;E42,0,ROUND(E42-E12-E54,1)),"")</f>
        <v>#DIV/0!</v>
      </c>
      <c r="F56" s="9"/>
      <c r="G56" s="9"/>
      <c r="H56" s="17" t="str">
        <f>""&amp;dunit&amp;"s subject to adjustment"</f>
        <v>UDAs subject to adjustment</v>
      </c>
      <c r="I56" s="32" t="e">
        <f>IF(cdtb,IF(I43&gt;I42,0,ROUND(I42-I43-I54,1)),"")</f>
        <v>#DIV/0!</v>
      </c>
      <c r="J56" s="32" t="e">
        <f>IF(cdtc,IF(J43&gt;J42,0,ROUND(J42-J43-J54,1)),"")</f>
        <v>#DIV/0!</v>
      </c>
      <c r="K56" s="33" t="e">
        <f>IF(cdtd,IF(K43&gt;K42,0,ROUND(K42-K43-K54,1)),"")</f>
        <v>#DIV/0!</v>
      </c>
      <c r="L56" s="9"/>
      <c r="N56" s="17" t="str">
        <f>""&amp;dunit&amp;"s subject to adjustment"</f>
        <v>UDAs subject to adjustment</v>
      </c>
      <c r="O56" s="32" t="e">
        <f>IF(cdtb,IF(O43&gt;O42,0,ROUND(O42-O43-O54,1)),"")</f>
        <v>#DIV/0!</v>
      </c>
      <c r="P56" s="32" t="e">
        <f>IF(cdtc,IF(P43&gt;P42,0,ROUND(P42-P43-P54,1)),"")</f>
        <v>#DIV/0!</v>
      </c>
      <c r="Q56" s="33" t="e">
        <f>IF(cdtd,IF(Q43&gt;Q42,0,ROUND(Q42-Q43-Q54,1)),"")</f>
        <v>#DIV/0!</v>
      </c>
      <c r="T56" s="64" t="s">
        <v>65</v>
      </c>
      <c r="U56" s="75">
        <f>IF(U54&gt;C$5,C$7*(U54-C$5),0)</f>
        <v>0</v>
      </c>
    </row>
    <row r="57" spans="2:21" hidden="1" x14ac:dyDescent="0.25">
      <c r="B57" s="17" t="s">
        <v>10</v>
      </c>
      <c r="C57" s="30" t="e">
        <f>IF(cdtb,C56*$C$7*0.1675,"")</f>
        <v>#DIV/0!</v>
      </c>
      <c r="D57" s="30" t="e">
        <f>IF(cdtc,D56*$C$7*0.1275,"")</f>
        <v>#DIV/0!</v>
      </c>
      <c r="E57" s="31" t="e">
        <f>IF(cdtd,E56*$C$7*0.1275,"")</f>
        <v>#DIV/0!</v>
      </c>
      <c r="F57" s="9"/>
      <c r="G57" s="9"/>
      <c r="H57" s="17" t="s">
        <v>10</v>
      </c>
      <c r="I57" s="30" t="e">
        <f>IF(cdtb,I56*$C$7*0.1675,"")</f>
        <v>#DIV/0!</v>
      </c>
      <c r="J57" s="30" t="e">
        <f>IF(cdtc,J56*$C$7*0.1275,"")</f>
        <v>#DIV/0!</v>
      </c>
      <c r="K57" s="31" t="e">
        <f>IF(cdtd,K56*$C$7*0.1275,"")</f>
        <v>#DIV/0!</v>
      </c>
      <c r="L57" s="9"/>
      <c r="N57" s="17" t="s">
        <v>10</v>
      </c>
      <c r="O57" s="30" t="e">
        <f>IF(cdtb,O56*$C$7*0.1675,"")</f>
        <v>#DIV/0!</v>
      </c>
      <c r="P57" s="30" t="e">
        <f>IF(cdtc,P56*$C$7*0.1275,"")</f>
        <v>#DIV/0!</v>
      </c>
      <c r="Q57" s="31" t="e">
        <f>IF(cdtd,Q56*$C$7*0.1275,"")</f>
        <v>#DIV/0!</v>
      </c>
      <c r="T57" s="64" t="s">
        <v>66</v>
      </c>
      <c r="U57" s="75" t="e">
        <f>IF(U55&gt;C$5,C$7*(U55-C$5),0)</f>
        <v>#DIV/0!</v>
      </c>
    </row>
    <row r="58" spans="2:21" hidden="1" x14ac:dyDescent="0.25">
      <c r="B58" s="17" t="s">
        <v>51</v>
      </c>
      <c r="C58" s="42" t="e">
        <f>IF(cdtb,C55+C57,"")</f>
        <v>#DIV/0!</v>
      </c>
      <c r="D58" s="42" t="e">
        <f>IF(cdtc,D55+D57,"")</f>
        <v>#DIV/0!</v>
      </c>
      <c r="E58" s="31" t="e">
        <f>IF(cdtd,E55+E57,"0")</f>
        <v>#DIV/0!</v>
      </c>
      <c r="H58" s="17" t="s">
        <v>51</v>
      </c>
      <c r="I58" s="42" t="e">
        <f>IF(cdtb,I55+I57,"")</f>
        <v>#DIV/0!</v>
      </c>
      <c r="J58" s="42" t="e">
        <f>IF(cdtc,J55+J57,"")</f>
        <v>#DIV/0!</v>
      </c>
      <c r="K58" s="31" t="e">
        <f>IF(cdtd,K55+K57,"0")</f>
        <v>#DIV/0!</v>
      </c>
      <c r="N58" s="17" t="s">
        <v>51</v>
      </c>
      <c r="O58" s="42" t="e">
        <f>IF(cdtb,O55+O57,"")</f>
        <v>#DIV/0!</v>
      </c>
      <c r="P58" s="42" t="e">
        <f>IF(cdtc,P55+P57,"")</f>
        <v>#DIV/0!</v>
      </c>
      <c r="Q58" s="31" t="e">
        <f>IF(cdtd,Q55+Q57,"0")</f>
        <v>#DIV/0!</v>
      </c>
    </row>
    <row r="59" spans="2:21" hidden="1" x14ac:dyDescent="0.25">
      <c r="B59" s="17" t="s">
        <v>1</v>
      </c>
      <c r="C59" s="34" t="e">
        <f>IF(cdtb,$C$6/2-C58,"")</f>
        <v>#DIV/0!</v>
      </c>
      <c r="D59" s="34" t="e">
        <f>IF(cdtc,$C$6/4-D58,"")</f>
        <v>#DIV/0!</v>
      </c>
      <c r="E59" s="35" t="e">
        <f>IF(cdtd,$C$6/4+U56-E58,"")</f>
        <v>#DIV/0!</v>
      </c>
      <c r="H59" s="17" t="s">
        <v>1</v>
      </c>
      <c r="I59" s="34" t="e">
        <f>IF(cdtb,$C$6/2-I58,"")</f>
        <v>#DIV/0!</v>
      </c>
      <c r="J59" s="34" t="e">
        <f>IF(cdtc,$C$6/4-J58,"")</f>
        <v>#DIV/0!</v>
      </c>
      <c r="K59" s="35" t="e">
        <f>IF(cdtd,$C$6/4+U56-K58,"")</f>
        <v>#DIV/0!</v>
      </c>
      <c r="N59" s="17" t="s">
        <v>1</v>
      </c>
      <c r="O59" s="34" t="e">
        <f>IF(cdtb,$C$6/2-O58,"")</f>
        <v>#DIV/0!</v>
      </c>
      <c r="P59" s="34" t="e">
        <f>IF(cdtc,$C$6/4-P58,"")</f>
        <v>#DIV/0!</v>
      </c>
      <c r="Q59" s="35" t="e">
        <f>IF(cdtd,$C$6/4+U57-Q58,"")</f>
        <v>#DIV/0!</v>
      </c>
    </row>
    <row r="60" spans="2:21" hidden="1" x14ac:dyDescent="0.25">
      <c r="B60" s="17" t="str">
        <f>"Total "&amp;dunit&amp;"s performed and paid for"</f>
        <v>Total UDAs performed and paid for</v>
      </c>
      <c r="C60" s="145" t="e">
        <f>IF(cdt,TEXT(U54,"#,###.0")&amp;" "&amp;dunit&amp;"s, equal to: "&amp;TEXT(U54/C5,"0.0%")&amp;" of target","")</f>
        <v>#DIV/0!</v>
      </c>
      <c r="D60" s="145"/>
      <c r="E60" s="146"/>
      <c r="H60" s="17" t="str">
        <f>"Total "&amp;dunit&amp;"s performed and paid for"</f>
        <v>Total UDAs performed and paid for</v>
      </c>
      <c r="I60" s="145" t="e">
        <f>IF(cdt,TEXT(U54,"#,###.0")&amp;" "&amp;dunit&amp;"s, equal to: "&amp;TEXT(U54/C5,"0.0%")&amp;" of target","")</f>
        <v>#DIV/0!</v>
      </c>
      <c r="J60" s="145"/>
      <c r="K60" s="146"/>
      <c r="N60" s="17" t="str">
        <f>"Total "&amp;dunit&amp;"s performed and paid for"</f>
        <v>Total UDAs performed and paid for</v>
      </c>
      <c r="O60" s="147" t="e">
        <f>IF(cdt,TEXT(U55,"#,###.0")&amp;" "&amp;dunit&amp;"s, equal to: "&amp;TEXT(U55/C5,"0.0%")&amp;" of target","")</f>
        <v>#DIV/0!</v>
      </c>
      <c r="P60" s="147"/>
      <c r="Q60" s="148"/>
    </row>
    <row r="61" spans="2:21" hidden="1" x14ac:dyDescent="0.25">
      <c r="B61" s="17" t="s">
        <v>68</v>
      </c>
      <c r="C61" s="91"/>
      <c r="D61" s="66" t="e">
        <f>IF(cdt,SUM(C58:E58),"")</f>
        <v>#DIV/0!</v>
      </c>
      <c r="E61" s="92"/>
      <c r="H61" s="17" t="s">
        <v>68</v>
      </c>
      <c r="I61" s="91"/>
      <c r="J61" s="66" t="e">
        <f>IF(cdt,SUM(I58:K58),"")</f>
        <v>#DIV/0!</v>
      </c>
      <c r="K61" s="92"/>
      <c r="N61" s="17" t="s">
        <v>68</v>
      </c>
      <c r="O61" s="93"/>
      <c r="P61" s="66" t="e">
        <f>IF(cdt,SUM(O58:Q58),"")</f>
        <v>#DIV/0!</v>
      </c>
      <c r="Q61" s="94"/>
    </row>
    <row r="62" spans="2:21" hidden="1" x14ac:dyDescent="0.25">
      <c r="B62" s="36" t="s">
        <v>11</v>
      </c>
      <c r="C62" s="6"/>
      <c r="D62" s="37" t="e">
        <f>IF(cdt,SUM(C59:E59),"")</f>
        <v>#DIV/0!</v>
      </c>
      <c r="E62" s="38"/>
      <c r="F62" s="39"/>
      <c r="G62" s="39"/>
      <c r="H62" s="36" t="s">
        <v>11</v>
      </c>
      <c r="I62" s="6"/>
      <c r="J62" s="37" t="e">
        <f>IF(cdt,SUM(I59:K59),"")</f>
        <v>#DIV/0!</v>
      </c>
      <c r="K62" s="38"/>
      <c r="L62" s="39"/>
      <c r="N62" s="36" t="s">
        <v>11</v>
      </c>
      <c r="O62" s="6"/>
      <c r="P62" s="37" t="e">
        <f>IF(cdt,SUM(O59:Q59),"")</f>
        <v>#DIV/0!</v>
      </c>
      <c r="Q62" s="38"/>
    </row>
    <row r="63" spans="2:21" hidden="1" x14ac:dyDescent="0.25"/>
    <row r="64" spans="2:21" hidden="1" x14ac:dyDescent="0.25">
      <c r="H64" s="45" t="s">
        <v>70</v>
      </c>
      <c r="J64" s="9" t="e">
        <f>IF(cdt,J62-D62,"")</f>
        <v>#DIV/0!</v>
      </c>
      <c r="N64" s="45" t="e">
        <f>IF(P64&lt;&gt;0,"Benefit to the practice from offsetting:","There is no benefit to the practice from offsetting.")</f>
        <v>#DIV/0!</v>
      </c>
      <c r="P64" s="10" t="e">
        <f>IF(cdt,P62-J62,"")</f>
        <v>#DIV/0!</v>
      </c>
    </row>
    <row r="65" spans="2:16" ht="18.75" hidden="1" x14ac:dyDescent="0.3">
      <c r="B65" s="86" t="s">
        <v>72</v>
      </c>
      <c r="C65" s="84"/>
      <c r="D65" s="84"/>
      <c r="E65" s="84"/>
      <c r="F65" s="84"/>
      <c r="H65" s="45"/>
      <c r="N65" s="45"/>
      <c r="P65" s="10"/>
    </row>
    <row r="66" spans="2:16" hidden="1" x14ac:dyDescent="0.25">
      <c r="B66" s="84"/>
      <c r="C66" s="84"/>
      <c r="D66" s="84"/>
      <c r="E66" s="84"/>
      <c r="F66" s="84" t="s">
        <v>30</v>
      </c>
      <c r="H66" s="45"/>
      <c r="N66" s="45"/>
      <c r="P66" s="10"/>
    </row>
    <row r="67" spans="2:16" hidden="1" x14ac:dyDescent="0.25">
      <c r="B67" s="84"/>
      <c r="C67" s="84"/>
      <c r="D67" s="84"/>
      <c r="E67" s="84"/>
      <c r="F67" s="87">
        <f>C8</f>
        <v>0</v>
      </c>
      <c r="H67" s="45"/>
      <c r="N67" s="45"/>
      <c r="P67" s="10"/>
    </row>
    <row r="68" spans="2:16" hidden="1" x14ac:dyDescent="0.25">
      <c r="B68" s="85" t="s">
        <v>73</v>
      </c>
      <c r="C68" s="84"/>
      <c r="D68" s="84"/>
      <c r="E68" s="84"/>
      <c r="F68" s="87"/>
      <c r="H68" s="45"/>
      <c r="N68" s="45"/>
      <c r="P68" s="10"/>
    </row>
    <row r="69" spans="2:16" hidden="1" x14ac:dyDescent="0.25">
      <c r="B69" s="84" t="s">
        <v>74</v>
      </c>
      <c r="C69" s="84">
        <f>IF(C12&lt;C49*C42,IF(F67&gt;=(C49*C42-C12),C49*C42-C12,0),0)</f>
        <v>0</v>
      </c>
      <c r="D69" s="84"/>
      <c r="E69" s="84"/>
      <c r="F69" s="87">
        <f>F67-C69</f>
        <v>0</v>
      </c>
      <c r="H69" s="45"/>
      <c r="I69" s="3" t="e">
        <f>IF(cdt,IF(P62&gt;J62,1,0),0)</f>
        <v>#DIV/0!</v>
      </c>
      <c r="N69" s="45"/>
      <c r="P69" s="10"/>
    </row>
    <row r="70" spans="2:16" hidden="1" x14ac:dyDescent="0.25">
      <c r="B70" s="84" t="s">
        <v>75</v>
      </c>
      <c r="C70" s="84"/>
      <c r="D70" s="84">
        <f>IF(D12&lt;D49*D42,IF(F69&gt;=(D49*D42-D12),D49*D42-D12,0),0)</f>
        <v>0</v>
      </c>
      <c r="E70" s="84"/>
      <c r="F70" s="87">
        <f>F69-D70</f>
        <v>0</v>
      </c>
      <c r="H70" s="45"/>
      <c r="I70" s="3" t="e">
        <f>IF(cdt,IF(J62&gt;D62,1,0),0)</f>
        <v>#DIV/0!</v>
      </c>
      <c r="N70" s="45"/>
      <c r="P70" s="10"/>
    </row>
    <row r="71" spans="2:16" hidden="1" x14ac:dyDescent="0.25">
      <c r="B71" s="84" t="s">
        <v>76</v>
      </c>
      <c r="C71" s="84"/>
      <c r="D71" s="84"/>
      <c r="E71" s="84">
        <f>IF(E12&lt;E49*E42,IF(F70&gt;=(E49*E42-E12),E49*E42-E12,0),0)</f>
        <v>0</v>
      </c>
      <c r="F71" s="87">
        <f>F70-E71</f>
        <v>0</v>
      </c>
      <c r="H71" s="45"/>
      <c r="N71" s="45"/>
      <c r="P71" s="10"/>
    </row>
    <row r="72" spans="2:16" hidden="1" x14ac:dyDescent="0.25">
      <c r="B72" s="84"/>
      <c r="C72" s="84"/>
      <c r="D72" s="84"/>
      <c r="E72" s="84"/>
      <c r="F72" s="87"/>
      <c r="H72" s="45"/>
      <c r="N72" s="45"/>
      <c r="P72" s="10"/>
    </row>
    <row r="73" spans="2:16" hidden="1" x14ac:dyDescent="0.25">
      <c r="B73" s="85" t="s">
        <v>77</v>
      </c>
      <c r="C73" s="84"/>
      <c r="D73" s="84"/>
      <c r="E73" s="84"/>
      <c r="F73" s="87"/>
      <c r="H73" s="45"/>
      <c r="N73" s="45"/>
      <c r="P73" s="10"/>
    </row>
    <row r="74" spans="2:16" hidden="1" x14ac:dyDescent="0.25">
      <c r="B74" s="90" t="s">
        <v>85</v>
      </c>
      <c r="C74" s="90">
        <f>IF((C12+C69)&gt;=(C42*C49),1,0)</f>
        <v>1</v>
      </c>
      <c r="D74" s="90">
        <f>IF((D12+D70)&gt;=(D42*D49),1,0)</f>
        <v>1</v>
      </c>
      <c r="E74" s="90">
        <f>IF((E12+E71)&gt;=(E42*E49),1,0)</f>
        <v>1</v>
      </c>
      <c r="F74" s="87"/>
      <c r="H74" s="45"/>
      <c r="N74" s="45"/>
      <c r="P74" s="10"/>
    </row>
    <row r="75" spans="2:16" hidden="1" x14ac:dyDescent="0.25">
      <c r="B75" s="90" t="s">
        <v>86</v>
      </c>
      <c r="C75" s="90">
        <f>IF((C12+C69)&lt;(C42*C47),1,0)</f>
        <v>0</v>
      </c>
      <c r="D75" s="90">
        <f>IF((D12+D70)&lt;(D42*D47),1,0)</f>
        <v>0</v>
      </c>
      <c r="E75" s="90">
        <f>IF((E12+E71)&lt;(E42*E47),1,0)</f>
        <v>0</v>
      </c>
      <c r="F75" s="87"/>
      <c r="H75" s="45"/>
      <c r="N75" s="45"/>
      <c r="P75" s="10"/>
    </row>
    <row r="76" spans="2:16" hidden="1" x14ac:dyDescent="0.25">
      <c r="B76" s="90" t="s">
        <v>87</v>
      </c>
      <c r="C76" s="90">
        <f>IF(AND(C74,C75),1,0)</f>
        <v>0</v>
      </c>
      <c r="D76" s="90">
        <f t="shared" ref="D76:E76" si="4">IF(AND(D74,D75),1,0)</f>
        <v>0</v>
      </c>
      <c r="E76" s="90">
        <f t="shared" si="4"/>
        <v>0</v>
      </c>
      <c r="F76" s="87"/>
      <c r="H76" s="45"/>
      <c r="N76" s="45"/>
      <c r="P76" s="10"/>
    </row>
    <row r="77" spans="2:16" hidden="1" x14ac:dyDescent="0.25">
      <c r="B77" s="90" t="s">
        <v>84</v>
      </c>
      <c r="C77" s="90">
        <f>IF(C76,(C42*C47)-(C12+C69),0)</f>
        <v>0</v>
      </c>
      <c r="D77" s="90">
        <f>IF(D76,(D42*D47)-(D12+D70),0)</f>
        <v>0</v>
      </c>
      <c r="E77" s="90">
        <f>IF(E76,(E42*E47)-(E12+E71),0)</f>
        <v>0</v>
      </c>
      <c r="F77" s="87"/>
      <c r="H77" s="45"/>
      <c r="N77" s="45"/>
      <c r="P77" s="10"/>
    </row>
    <row r="78" spans="2:16" hidden="1" x14ac:dyDescent="0.25">
      <c r="B78" s="84" t="s">
        <v>78</v>
      </c>
      <c r="C78" s="84">
        <f>IF(F71&gt;C77,C77,F71)</f>
        <v>0</v>
      </c>
      <c r="D78" s="84"/>
      <c r="E78" s="84"/>
      <c r="F78" s="87">
        <f>F71-C78</f>
        <v>0</v>
      </c>
      <c r="H78" s="45"/>
      <c r="N78" s="45"/>
      <c r="P78" s="10"/>
    </row>
    <row r="79" spans="2:16" hidden="1" x14ac:dyDescent="0.25">
      <c r="B79" s="84" t="s">
        <v>79</v>
      </c>
      <c r="C79" s="84"/>
      <c r="D79" s="84">
        <f>IF(F78&gt;D77,D77,F78)</f>
        <v>0</v>
      </c>
      <c r="E79" s="84"/>
      <c r="F79" s="87">
        <f>F78-D79</f>
        <v>0</v>
      </c>
      <c r="H79" s="45"/>
      <c r="N79" s="45"/>
      <c r="P79" s="10"/>
    </row>
    <row r="80" spans="2:16" hidden="1" x14ac:dyDescent="0.25">
      <c r="B80" s="84" t="s">
        <v>80</v>
      </c>
      <c r="C80" s="84"/>
      <c r="D80" s="84"/>
      <c r="E80" s="84">
        <f>IF(F79&gt;E77,E77,F79)</f>
        <v>0</v>
      </c>
      <c r="F80" s="87">
        <f>F79-E80</f>
        <v>0</v>
      </c>
      <c r="H80" s="45"/>
      <c r="N80" s="45"/>
      <c r="P80" s="10"/>
    </row>
    <row r="81" spans="2:16" hidden="1" x14ac:dyDescent="0.25">
      <c r="B81" s="84"/>
      <c r="C81" s="84"/>
      <c r="D81" s="84"/>
      <c r="E81" s="84"/>
      <c r="F81" s="87"/>
      <c r="H81" s="45"/>
      <c r="N81" s="45"/>
      <c r="P81" s="10"/>
    </row>
    <row r="82" spans="2:16" hidden="1" x14ac:dyDescent="0.25">
      <c r="B82" s="85" t="s">
        <v>81</v>
      </c>
      <c r="C82" s="84"/>
      <c r="D82" s="84"/>
      <c r="E82" s="84"/>
      <c r="F82" s="87"/>
      <c r="H82" s="45"/>
      <c r="N82" s="45"/>
      <c r="P82" s="10"/>
    </row>
    <row r="83" spans="2:16" hidden="1" x14ac:dyDescent="0.25">
      <c r="B83" s="90" t="s">
        <v>88</v>
      </c>
      <c r="C83" s="90">
        <f>IF((C12+C69+C78)&lt;(C42*C49),1,0)</f>
        <v>0</v>
      </c>
      <c r="D83" s="90">
        <f>IF((D12+D70+D79)&lt;(D42*D49),1,0)</f>
        <v>0</v>
      </c>
      <c r="E83" s="90">
        <f>IF((E12+E71+E80)&lt;(E42*E49),1,0)</f>
        <v>0</v>
      </c>
      <c r="F83" s="87"/>
      <c r="H83" s="45"/>
      <c r="N83" s="45"/>
      <c r="P83" s="10"/>
    </row>
    <row r="84" spans="2:16" hidden="1" x14ac:dyDescent="0.25">
      <c r="B84" s="84" t="s">
        <v>83</v>
      </c>
      <c r="C84" s="84">
        <f>IF(C83,F80,0)</f>
        <v>0</v>
      </c>
      <c r="D84" s="84"/>
      <c r="E84" s="84"/>
      <c r="F84" s="87">
        <f>F80-C84</f>
        <v>0</v>
      </c>
      <c r="H84" s="45"/>
      <c r="N84" s="45"/>
      <c r="P84" s="10"/>
    </row>
    <row r="85" spans="2:16" hidden="1" x14ac:dyDescent="0.25">
      <c r="B85" s="84" t="s">
        <v>82</v>
      </c>
      <c r="C85" s="84"/>
      <c r="D85" s="84">
        <f>IF(D83,F84,0)</f>
        <v>0</v>
      </c>
      <c r="E85" s="84"/>
      <c r="F85" s="87">
        <f>F84-D85</f>
        <v>0</v>
      </c>
      <c r="H85" s="45"/>
      <c r="N85" s="45"/>
      <c r="P85" s="10"/>
    </row>
    <row r="86" spans="2:16" hidden="1" x14ac:dyDescent="0.25">
      <c r="B86" s="84" t="s">
        <v>89</v>
      </c>
      <c r="C86" s="84"/>
      <c r="D86" s="84"/>
      <c r="E86" s="84">
        <f>IF(E83,F85,0)</f>
        <v>0</v>
      </c>
      <c r="F86" s="87">
        <f>F85-E86</f>
        <v>0</v>
      </c>
      <c r="H86" s="45"/>
      <c r="N86" s="45"/>
      <c r="P86" s="10"/>
    </row>
    <row r="87" spans="2:16" hidden="1" x14ac:dyDescent="0.25">
      <c r="B87" s="84"/>
      <c r="C87" s="84"/>
      <c r="D87" s="84"/>
      <c r="E87" s="84"/>
      <c r="F87" s="87"/>
      <c r="H87" s="45"/>
      <c r="N87" s="45"/>
      <c r="P87" s="10"/>
    </row>
    <row r="88" spans="2:16" hidden="1" x14ac:dyDescent="0.25">
      <c r="B88" s="85" t="s">
        <v>102</v>
      </c>
      <c r="C88" s="84"/>
      <c r="D88" s="84"/>
      <c r="E88" s="84"/>
      <c r="F88" s="87"/>
      <c r="H88" s="45"/>
      <c r="N88" s="45"/>
      <c r="P88" s="10"/>
    </row>
    <row r="89" spans="2:16" hidden="1" x14ac:dyDescent="0.25">
      <c r="B89" s="130" t="s">
        <v>106</v>
      </c>
      <c r="C89" s="84">
        <f>IF(AND((C12+C69+C78+C84)&gt;C47*C42,(C12+C69+C78+C84)&lt;C42),1,0)</f>
        <v>0</v>
      </c>
      <c r="D89" s="84">
        <f>IF(AND((D12+D70+D79+D85)&gt;D47*D42,(D12+D70+D79+D85)&lt;D42),1,0)</f>
        <v>0</v>
      </c>
      <c r="E89" s="84">
        <f>IF(AND((E12+E71+E80+E86)&gt;E47*E42,(E12+E71+E80+E86)&lt;E42),1,0)</f>
        <v>0</v>
      </c>
      <c r="F89" s="87"/>
      <c r="H89" s="45"/>
      <c r="N89" s="45"/>
      <c r="P89" s="10"/>
    </row>
    <row r="90" spans="2:16" hidden="1" x14ac:dyDescent="0.25">
      <c r="B90" s="130" t="s">
        <v>105</v>
      </c>
      <c r="C90" s="84">
        <f>IF(C89,C42-C43,0)</f>
        <v>0</v>
      </c>
      <c r="D90" s="84">
        <f>IF(D89,D42-D43,0)</f>
        <v>0</v>
      </c>
      <c r="E90" s="84">
        <f>IF(E89,E42-E43,0)</f>
        <v>0</v>
      </c>
      <c r="F90" s="87"/>
      <c r="H90" s="45"/>
      <c r="N90" s="45"/>
      <c r="P90" s="10"/>
    </row>
    <row r="91" spans="2:16" hidden="1" x14ac:dyDescent="0.25">
      <c r="B91" s="130" t="s">
        <v>104</v>
      </c>
      <c r="C91" s="132">
        <f>IF(F86&gt;C90,C90,F86)</f>
        <v>0</v>
      </c>
      <c r="D91" s="132">
        <f>IF((F86-C91)&lt;D90,(F86-C91),D90)</f>
        <v>0</v>
      </c>
      <c r="E91" s="133">
        <f>IF((F86-D91-C91)&lt;E90,(F86-D91-C91),E90)</f>
        <v>0</v>
      </c>
      <c r="F91" s="87"/>
      <c r="H91" s="45"/>
      <c r="N91" s="45"/>
      <c r="P91" s="10"/>
    </row>
    <row r="92" spans="2:16" hidden="1" x14ac:dyDescent="0.25">
      <c r="B92" s="84"/>
      <c r="C92" s="84"/>
      <c r="D92" s="84"/>
      <c r="E92" s="84"/>
      <c r="F92" s="87"/>
      <c r="H92" s="45"/>
      <c r="N92" s="45"/>
      <c r="P92" s="10"/>
    </row>
    <row r="93" spans="2:16" hidden="1" x14ac:dyDescent="0.25">
      <c r="B93" s="84"/>
      <c r="C93" s="84"/>
      <c r="D93" s="84"/>
      <c r="E93" s="84"/>
      <c r="F93" s="87"/>
      <c r="H93" s="45"/>
      <c r="N93" s="45"/>
      <c r="P93" s="10"/>
    </row>
    <row r="94" spans="2:16" ht="21" hidden="1" x14ac:dyDescent="0.35">
      <c r="B94" s="76" t="s">
        <v>71</v>
      </c>
      <c r="F94" s="88"/>
      <c r="H94" s="45"/>
      <c r="N94" s="45"/>
      <c r="P94" s="10"/>
    </row>
    <row r="95" spans="2:16" hidden="1" x14ac:dyDescent="0.25">
      <c r="B95" s="77" t="s">
        <v>23</v>
      </c>
      <c r="C95" s="78"/>
      <c r="D95" s="78"/>
      <c r="E95" s="78"/>
      <c r="F95" s="78" t="s">
        <v>30</v>
      </c>
    </row>
    <row r="96" spans="2:16" hidden="1" x14ac:dyDescent="0.25">
      <c r="B96" s="78" t="s">
        <v>13</v>
      </c>
      <c r="C96" s="78"/>
      <c r="D96" s="78"/>
      <c r="E96" s="78"/>
      <c r="F96" s="95" t="e">
        <f>J52+K52</f>
        <v>#DIV/0!</v>
      </c>
    </row>
    <row r="97" spans="2:12" hidden="1" x14ac:dyDescent="0.25">
      <c r="B97" s="79"/>
      <c r="C97" s="78"/>
      <c r="D97" s="78"/>
      <c r="E97" s="78"/>
      <c r="F97" s="78"/>
    </row>
    <row r="98" spans="2:12" hidden="1" x14ac:dyDescent="0.25">
      <c r="B98" s="80" t="s">
        <v>31</v>
      </c>
      <c r="C98" s="78"/>
      <c r="D98" s="78"/>
      <c r="E98" s="78"/>
      <c r="F98" s="78"/>
    </row>
    <row r="99" spans="2:12" hidden="1" x14ac:dyDescent="0.25">
      <c r="B99" s="78" t="s">
        <v>32</v>
      </c>
      <c r="C99" s="78" t="e">
        <f>IF(I50="no",I49*I42-I43,0)</f>
        <v>#DIV/0!</v>
      </c>
      <c r="D99" s="78"/>
      <c r="E99" s="78"/>
      <c r="F99" s="78"/>
    </row>
    <row r="100" spans="2:12" hidden="1" x14ac:dyDescent="0.25">
      <c r="B100" s="78" t="s">
        <v>33</v>
      </c>
      <c r="C100" s="78" t="e">
        <f>IF(J50="no",J49*J42-J43,0)</f>
        <v>#DIV/0!</v>
      </c>
      <c r="D100" s="78"/>
      <c r="E100" s="78"/>
      <c r="F100" s="78"/>
    </row>
    <row r="101" spans="2:12" hidden="1" x14ac:dyDescent="0.25">
      <c r="B101" s="78"/>
      <c r="C101" s="81"/>
      <c r="D101" s="78"/>
      <c r="E101" s="78"/>
      <c r="F101" s="78"/>
    </row>
    <row r="102" spans="2:12" hidden="1" x14ac:dyDescent="0.25">
      <c r="B102" s="78"/>
      <c r="C102" s="78" t="s">
        <v>14</v>
      </c>
      <c r="D102" s="78" t="s">
        <v>14</v>
      </c>
      <c r="E102" s="78"/>
      <c r="F102" s="78"/>
    </row>
    <row r="103" spans="2:12" hidden="1" x14ac:dyDescent="0.25">
      <c r="B103" s="78" t="s">
        <v>42</v>
      </c>
      <c r="C103" s="78" t="e">
        <f>IF(F96&gt;=C99,C99,0)</f>
        <v>#DIV/0!</v>
      </c>
      <c r="D103" s="78" t="e">
        <f>IF((F96-C103)&gt;=C100,C100,0)</f>
        <v>#DIV/0!</v>
      </c>
      <c r="E103" s="78"/>
      <c r="F103" s="78" t="e">
        <f>F96-SUM(C103:D103)</f>
        <v>#DIV/0!</v>
      </c>
    </row>
    <row r="104" spans="2:12" hidden="1" x14ac:dyDescent="0.25">
      <c r="B104" s="78"/>
      <c r="C104" s="78"/>
      <c r="D104" s="78"/>
      <c r="E104" s="78"/>
      <c r="F104" s="78"/>
    </row>
    <row r="105" spans="2:12" hidden="1" x14ac:dyDescent="0.25">
      <c r="B105" s="77" t="s">
        <v>34</v>
      </c>
      <c r="C105" s="78"/>
      <c r="D105" s="78"/>
      <c r="E105" s="78"/>
      <c r="F105" s="78"/>
    </row>
    <row r="106" spans="2:12" hidden="1" x14ac:dyDescent="0.25">
      <c r="B106" s="78" t="s">
        <v>35</v>
      </c>
      <c r="C106" s="81" t="e">
        <f>IF((I43+C103)&gt;=(I49*I42),"Yes", "No")</f>
        <v>#DIV/0!</v>
      </c>
      <c r="D106" s="81" t="e">
        <f>IF((J43+D103)&gt;=(J49*J42),"Yes", "No")</f>
        <v>#DIV/0!</v>
      </c>
      <c r="E106" s="78"/>
      <c r="F106" s="78" t="e">
        <f>F103</f>
        <v>#DIV/0!</v>
      </c>
    </row>
    <row r="107" spans="2:12" hidden="1" x14ac:dyDescent="0.25">
      <c r="B107" s="78" t="s">
        <v>36</v>
      </c>
      <c r="C107" s="41" t="e">
        <f>IF(C106="Yes",I47*I42,0)</f>
        <v>#DIV/0!</v>
      </c>
      <c r="D107" s="41" t="e">
        <f>IF(D106="Yes",J47*J42,0)</f>
        <v>#DIV/0!</v>
      </c>
    </row>
    <row r="108" spans="2:12" hidden="1" x14ac:dyDescent="0.25">
      <c r="B108" s="78" t="s">
        <v>37</v>
      </c>
      <c r="C108" s="41" t="e">
        <f>IF(C106="Yes",SUM(I43,I103),0)</f>
        <v>#DIV/0!</v>
      </c>
      <c r="D108" s="41" t="e">
        <f>IF(D106="Yes",SUM(J43,J103),0)</f>
        <v>#DIV/0!</v>
      </c>
    </row>
    <row r="109" spans="2:12" hidden="1" x14ac:dyDescent="0.25">
      <c r="B109" s="78" t="s">
        <v>38</v>
      </c>
      <c r="C109" s="41" t="e">
        <f>IF(C107&gt;C108,C107-C108,0)</f>
        <v>#DIV/0!</v>
      </c>
      <c r="D109" s="41" t="e">
        <f>IF(D107&gt;D108,D107-D108,0)</f>
        <v>#DIV/0!</v>
      </c>
    </row>
    <row r="110" spans="2:12" hidden="1" x14ac:dyDescent="0.25">
      <c r="B110" s="78" t="s">
        <v>39</v>
      </c>
      <c r="C110" s="82" t="e">
        <f>IF(C109&gt;F106,F106,C109)</f>
        <v>#DIV/0!</v>
      </c>
      <c r="D110" s="82"/>
      <c r="E110" s="78"/>
      <c r="F110" s="82" t="e">
        <f>F106-C110</f>
        <v>#DIV/0!</v>
      </c>
      <c r="G110" s="49"/>
      <c r="H110" s="49"/>
      <c r="I110" s="49"/>
      <c r="J110" s="49"/>
      <c r="K110" s="49"/>
      <c r="L110" s="49"/>
    </row>
    <row r="111" spans="2:12" hidden="1" x14ac:dyDescent="0.25">
      <c r="B111" s="78" t="s">
        <v>40</v>
      </c>
      <c r="C111" s="82"/>
      <c r="D111" s="82" t="e">
        <f>IF(D109&gt;F110,F110,D109)</f>
        <v>#DIV/0!</v>
      </c>
      <c r="E111" s="78"/>
      <c r="F111" s="82" t="e">
        <f>F110-D111</f>
        <v>#DIV/0!</v>
      </c>
      <c r="G111" s="49"/>
      <c r="H111" s="49"/>
      <c r="I111" s="49"/>
      <c r="J111" s="49"/>
      <c r="K111" s="49"/>
      <c r="L111" s="49"/>
    </row>
    <row r="112" spans="2:12" hidden="1" x14ac:dyDescent="0.25">
      <c r="B112" s="78"/>
      <c r="C112" s="82"/>
      <c r="D112" s="82"/>
      <c r="E112" s="78"/>
      <c r="F112" s="82"/>
      <c r="G112" s="49"/>
      <c r="H112" s="49"/>
      <c r="I112" s="49"/>
      <c r="J112" s="49"/>
      <c r="K112" s="49"/>
      <c r="L112" s="49"/>
    </row>
    <row r="113" spans="2:12" hidden="1" x14ac:dyDescent="0.25">
      <c r="B113" s="77" t="s">
        <v>52</v>
      </c>
      <c r="C113" s="82"/>
      <c r="D113" s="82"/>
      <c r="E113" s="78"/>
      <c r="F113" s="82"/>
      <c r="G113" s="49"/>
      <c r="H113" s="49"/>
      <c r="I113" s="49"/>
      <c r="J113" s="49"/>
      <c r="K113" s="49"/>
      <c r="L113" s="49"/>
    </row>
    <row r="114" spans="2:12" hidden="1" x14ac:dyDescent="0.25">
      <c r="B114" s="78" t="s">
        <v>53</v>
      </c>
      <c r="C114" s="82"/>
      <c r="D114" s="82"/>
      <c r="E114" s="78"/>
      <c r="F114" s="82" t="e">
        <f>F111</f>
        <v>#DIV/0!</v>
      </c>
      <c r="G114" s="49"/>
      <c r="H114" s="49"/>
      <c r="I114" s="49"/>
      <c r="J114" s="49"/>
      <c r="K114" s="49"/>
      <c r="L114" s="49"/>
    </row>
    <row r="115" spans="2:12" hidden="1" x14ac:dyDescent="0.25">
      <c r="B115" s="78" t="s">
        <v>54</v>
      </c>
      <c r="C115" s="83" t="e">
        <f>IF(C99&gt;C103,"Yes","No")</f>
        <v>#DIV/0!</v>
      </c>
      <c r="D115" s="83" t="e">
        <f>IF(C100&gt;D103,"Yes","No")</f>
        <v>#DIV/0!</v>
      </c>
      <c r="E115" s="78"/>
      <c r="F115" s="82"/>
      <c r="G115" s="49"/>
      <c r="H115" s="49"/>
      <c r="I115" s="49"/>
      <c r="J115" s="49"/>
      <c r="K115" s="49"/>
      <c r="L115" s="49"/>
    </row>
    <row r="116" spans="2:12" hidden="1" x14ac:dyDescent="0.25">
      <c r="B116" s="78" t="s">
        <v>55</v>
      </c>
      <c r="C116" s="83" t="e">
        <f>IF(C99&gt;$F114,$F114,0)</f>
        <v>#DIV/0!</v>
      </c>
      <c r="D116" s="83" t="e">
        <f>IF((C100-C116)&gt;$F114,$F114,0)</f>
        <v>#DIV/0!</v>
      </c>
      <c r="E116" s="78"/>
      <c r="F116" s="82" t="e">
        <f>F114-C116-D116</f>
        <v>#DIV/0!</v>
      </c>
      <c r="G116" s="49"/>
      <c r="H116" s="49"/>
      <c r="I116" s="49"/>
      <c r="J116" s="49"/>
      <c r="K116" s="49"/>
      <c r="L116" s="49"/>
    </row>
    <row r="117" spans="2:12" hidden="1" x14ac:dyDescent="0.25">
      <c r="B117" s="78"/>
      <c r="C117" s="83"/>
      <c r="D117" s="83"/>
      <c r="E117" s="78"/>
      <c r="F117" s="82"/>
      <c r="G117" s="49"/>
      <c r="H117" s="49"/>
      <c r="I117" s="49"/>
      <c r="J117" s="49"/>
      <c r="K117" s="49"/>
      <c r="L117" s="49"/>
    </row>
    <row r="118" spans="2:12" hidden="1" x14ac:dyDescent="0.25">
      <c r="B118" s="134" t="s">
        <v>103</v>
      </c>
      <c r="C118" s="83"/>
      <c r="D118" s="83"/>
      <c r="E118" s="78"/>
      <c r="F118" s="82"/>
      <c r="G118" s="49"/>
      <c r="H118" s="49"/>
      <c r="I118" s="49"/>
      <c r="J118" s="49"/>
      <c r="K118" s="49"/>
      <c r="L118" s="49"/>
    </row>
    <row r="119" spans="2:12" hidden="1" x14ac:dyDescent="0.25">
      <c r="B119" s="135" t="s">
        <v>106</v>
      </c>
      <c r="C119" s="83"/>
      <c r="D119" s="83"/>
      <c r="E119" s="83"/>
      <c r="F119" s="82"/>
      <c r="G119" s="49"/>
      <c r="H119" s="49"/>
      <c r="I119" s="49"/>
      <c r="J119" s="49"/>
      <c r="K119" s="49"/>
      <c r="L119" s="49"/>
    </row>
    <row r="120" spans="2:12" hidden="1" x14ac:dyDescent="0.25">
      <c r="B120" s="135" t="s">
        <v>105</v>
      </c>
      <c r="C120" s="83"/>
      <c r="D120" s="83"/>
      <c r="E120" s="83"/>
      <c r="F120" s="82"/>
      <c r="G120" s="49"/>
      <c r="H120" s="49"/>
      <c r="I120" s="49"/>
      <c r="J120" s="49"/>
      <c r="K120" s="49"/>
      <c r="L120" s="49"/>
    </row>
    <row r="121" spans="2:12" hidden="1" x14ac:dyDescent="0.25">
      <c r="B121" s="135" t="s">
        <v>104</v>
      </c>
      <c r="C121" s="83">
        <v>0</v>
      </c>
      <c r="D121" s="83">
        <v>0</v>
      </c>
      <c r="E121" s="78">
        <v>0</v>
      </c>
      <c r="F121" s="82"/>
      <c r="G121" s="49"/>
      <c r="H121" s="49"/>
      <c r="I121" s="49"/>
      <c r="J121" s="49"/>
      <c r="K121" s="49"/>
      <c r="L121" s="49"/>
    </row>
    <row r="122" spans="2:12" hidden="1" x14ac:dyDescent="0.25">
      <c r="B122" s="78"/>
      <c r="C122" s="78"/>
      <c r="D122" s="78"/>
      <c r="E122" s="78"/>
      <c r="F122" s="78"/>
    </row>
    <row r="123" spans="2:12" hidden="1" x14ac:dyDescent="0.25">
      <c r="B123" s="77" t="s">
        <v>15</v>
      </c>
      <c r="C123" s="78"/>
      <c r="D123" s="78"/>
      <c r="E123" s="78"/>
      <c r="F123" s="78"/>
    </row>
    <row r="124" spans="2:12" hidden="1" x14ac:dyDescent="0.25">
      <c r="B124" s="78" t="s">
        <v>16</v>
      </c>
      <c r="C124" s="82"/>
      <c r="D124" s="78"/>
      <c r="E124" s="78"/>
      <c r="F124" s="82" t="e">
        <f>F96-F116</f>
        <v>#DIV/0!</v>
      </c>
      <c r="G124" s="49"/>
      <c r="H124" s="49"/>
      <c r="I124" s="49"/>
      <c r="J124" s="49"/>
      <c r="K124" s="49"/>
      <c r="L124" s="49"/>
    </row>
    <row r="125" spans="2:12" hidden="1" x14ac:dyDescent="0.25">
      <c r="B125" s="78" t="s">
        <v>27</v>
      </c>
      <c r="E125" s="40">
        <f>IF(K43&gt;K42,K43-K42,0)</f>
        <v>0</v>
      </c>
    </row>
    <row r="126" spans="2:12" hidden="1" x14ac:dyDescent="0.25">
      <c r="B126" s="78"/>
      <c r="E126" s="78" t="e">
        <f>-IF(E125&gt;F124,F124,E125)</f>
        <v>#DIV/0!</v>
      </c>
      <c r="F126" s="78" t="e">
        <f>F124+E126</f>
        <v>#DIV/0!</v>
      </c>
    </row>
    <row r="127" spans="2:12" hidden="1" x14ac:dyDescent="0.25">
      <c r="B127" s="78" t="s">
        <v>17</v>
      </c>
      <c r="D127" s="50">
        <f>IF(J43&gt;(J47*J42),J43-J47*J42,0)</f>
        <v>0</v>
      </c>
      <c r="E127" s="8"/>
    </row>
    <row r="128" spans="2:12" hidden="1" x14ac:dyDescent="0.25">
      <c r="B128" s="78"/>
      <c r="C128" s="78"/>
      <c r="D128" s="78" t="e">
        <f>IF(D127&gt;F126,-F126,-D127)</f>
        <v>#DIV/0!</v>
      </c>
      <c r="E128" s="78"/>
      <c r="F128" s="78" t="e">
        <f>F126+D128</f>
        <v>#DIV/0!</v>
      </c>
    </row>
    <row r="129" spans="2:14" hidden="1" x14ac:dyDescent="0.25">
      <c r="B129" s="78"/>
      <c r="C129" s="78"/>
      <c r="D129" s="78"/>
      <c r="E129" s="78"/>
      <c r="F129" s="78"/>
    </row>
    <row r="130" spans="2:14" hidden="1" x14ac:dyDescent="0.25">
      <c r="B130" s="78" t="s">
        <v>18</v>
      </c>
      <c r="C130" s="78"/>
      <c r="D130" s="78"/>
      <c r="E130" s="78"/>
      <c r="F130" s="78"/>
    </row>
    <row r="131" spans="2:14" hidden="1" x14ac:dyDescent="0.25">
      <c r="B131" s="78" t="s">
        <v>19</v>
      </c>
      <c r="C131" s="78"/>
      <c r="D131" s="78"/>
      <c r="E131" s="40">
        <f>IF(K43&gt;K42,K42,K43)</f>
        <v>0</v>
      </c>
      <c r="F131" s="78"/>
    </row>
    <row r="132" spans="2:14" hidden="1" x14ac:dyDescent="0.25">
      <c r="B132" s="78" t="s">
        <v>20</v>
      </c>
      <c r="E132" s="40">
        <f>K47*K42</f>
        <v>0</v>
      </c>
    </row>
    <row r="133" spans="2:14" hidden="1" x14ac:dyDescent="0.25">
      <c r="B133" s="78" t="s">
        <v>21</v>
      </c>
      <c r="E133" s="40">
        <f>IF(E131&gt;E132,E131-E132,0)</f>
        <v>0</v>
      </c>
    </row>
    <row r="134" spans="2:14" hidden="1" x14ac:dyDescent="0.25">
      <c r="B134" s="78" t="s">
        <v>22</v>
      </c>
      <c r="E134" s="78" t="e">
        <f>-IF(F128&gt;E133,E133,F128)</f>
        <v>#DIV/0!</v>
      </c>
      <c r="F134" s="78" t="e">
        <f>F128+E134</f>
        <v>#DIV/0!</v>
      </c>
    </row>
    <row r="135" spans="2:14" hidden="1" x14ac:dyDescent="0.25">
      <c r="B135" s="78"/>
      <c r="E135" s="78"/>
      <c r="F135" s="78"/>
    </row>
    <row r="136" spans="2:14" hidden="1" x14ac:dyDescent="0.25">
      <c r="B136" s="78"/>
      <c r="E136" s="78"/>
      <c r="F136" s="78"/>
    </row>
    <row r="137" spans="2:14" hidden="1" x14ac:dyDescent="0.25">
      <c r="B137" s="78"/>
      <c r="E137" s="78"/>
      <c r="F137" s="78"/>
    </row>
    <row r="138" spans="2:14" hidden="1" x14ac:dyDescent="0.25">
      <c r="B138" s="78"/>
      <c r="E138" s="78"/>
      <c r="F138" s="78"/>
    </row>
    <row r="139" spans="2:14" hidden="1" x14ac:dyDescent="0.25">
      <c r="B139" s="78"/>
      <c r="E139" s="78"/>
      <c r="F139" s="78"/>
    </row>
    <row r="140" spans="2:14" hidden="1" x14ac:dyDescent="0.25"/>
    <row r="141" spans="2:14" ht="15.75" hidden="1" thickBot="1" x14ac:dyDescent="0.3"/>
    <row r="142" spans="2:14" ht="51" hidden="1" customHeight="1" thickBot="1" x14ac:dyDescent="0.3">
      <c r="B142" s="46"/>
      <c r="C142" s="152" t="s">
        <v>28</v>
      </c>
      <c r="D142" s="153"/>
      <c r="E142" s="153"/>
      <c r="F142" s="153"/>
      <c r="G142" s="153"/>
      <c r="H142" s="153"/>
      <c r="I142" s="153"/>
      <c r="J142" s="46"/>
      <c r="K142" s="68"/>
      <c r="L142" s="68"/>
      <c r="M142" s="68"/>
      <c r="N142" s="68"/>
    </row>
    <row r="143" spans="2:14" ht="15.75" hidden="1" thickBot="1" x14ac:dyDescent="0.3"/>
    <row r="144" spans="2:14" ht="138.75" hidden="1" customHeight="1" thickBot="1" x14ac:dyDescent="0.3">
      <c r="B144" s="47"/>
      <c r="C144" s="149" t="s">
        <v>67</v>
      </c>
      <c r="D144" s="150"/>
      <c r="E144" s="150"/>
      <c r="F144" s="150"/>
      <c r="G144" s="150"/>
      <c r="H144" s="150"/>
      <c r="I144" s="150"/>
      <c r="J144" s="69"/>
      <c r="K144" s="70"/>
      <c r="L144" s="70"/>
      <c r="M144" s="70"/>
      <c r="N144" s="70"/>
    </row>
  </sheetData>
  <sheetProtection algorithmName="SHA-512" hashValue="2TlfyvQbFTyI/wpC1Ha0DC58VEjfFeO53CkeaAgZE6sFsBGNuII17ZKhiD3bldbudN7M7rVi0osAmZ6/+RlHpQ==" saltValue="Il2XaFFM8BAXH5Acl4JLqA==" spinCount="100000" sheet="1" objects="1" scenarios="1" selectLockedCells="1" selectUnlockedCells="1"/>
  <mergeCells count="6">
    <mergeCell ref="C144:I144"/>
    <mergeCell ref="C31:E31"/>
    <mergeCell ref="C60:E60"/>
    <mergeCell ref="I60:K60"/>
    <mergeCell ref="O60:Q60"/>
    <mergeCell ref="C142:I142"/>
  </mergeCells>
  <conditionalFormatting sqref="C47:C48">
    <cfRule type="expression" dxfId="54" priority="54">
      <formula>$C$48="Yes"</formula>
    </cfRule>
    <cfRule type="expression" dxfId="53" priority="55">
      <formula>$C$48="No"</formula>
    </cfRule>
  </conditionalFormatting>
  <conditionalFormatting sqref="D47:D48">
    <cfRule type="expression" dxfId="52" priority="52">
      <formula>$D$48="No"</formula>
    </cfRule>
    <cfRule type="expression" dxfId="51" priority="53">
      <formula>$D$48="Yes"</formula>
    </cfRule>
  </conditionalFormatting>
  <conditionalFormatting sqref="E47:E48">
    <cfRule type="expression" dxfId="50" priority="50">
      <formula>$E$48="Yes"</formula>
    </cfRule>
    <cfRule type="expression" dxfId="49" priority="51">
      <formula>$E$48="No"</formula>
    </cfRule>
  </conditionalFormatting>
  <conditionalFormatting sqref="C49:C50">
    <cfRule type="expression" dxfId="48" priority="48">
      <formula>$C$50="No"</formula>
    </cfRule>
    <cfRule type="expression" dxfId="47" priority="49">
      <formula>$C$50="Yes"</formula>
    </cfRule>
  </conditionalFormatting>
  <conditionalFormatting sqref="D49:D50">
    <cfRule type="expression" dxfId="46" priority="46">
      <formula>$D$50="No"</formula>
    </cfRule>
    <cfRule type="expression" dxfId="45" priority="47">
      <formula>$D$50="Yes"</formula>
    </cfRule>
  </conditionalFormatting>
  <conditionalFormatting sqref="E49:E50">
    <cfRule type="expression" dxfId="44" priority="44">
      <formula>$E$50="No"</formula>
    </cfRule>
    <cfRule type="expression" dxfId="43" priority="45">
      <formula>$E$50="Yes"</formula>
    </cfRule>
  </conditionalFormatting>
  <conditionalFormatting sqref="Q49:Q50">
    <cfRule type="expression" dxfId="42" priority="32">
      <formula>$Q$50="No"</formula>
    </cfRule>
    <cfRule type="expression" dxfId="41" priority="33">
      <formula>$Q$50="Yes"</formula>
    </cfRule>
  </conditionalFormatting>
  <conditionalFormatting sqref="O47:O48">
    <cfRule type="expression" dxfId="40" priority="42">
      <formula>$O$48="Yes"</formula>
    </cfRule>
    <cfRule type="expression" dxfId="39" priority="43">
      <formula>$O$48="No"</formula>
    </cfRule>
  </conditionalFormatting>
  <conditionalFormatting sqref="P47:P48">
    <cfRule type="expression" dxfId="38" priority="40">
      <formula>$P$48="No"</formula>
    </cfRule>
    <cfRule type="expression" dxfId="37" priority="41">
      <formula>$P$48="Yes"</formula>
    </cfRule>
  </conditionalFormatting>
  <conditionalFormatting sqref="Q47:Q48">
    <cfRule type="expression" dxfId="36" priority="38">
      <formula>$Q$48="Yes"</formula>
    </cfRule>
    <cfRule type="expression" dxfId="35" priority="39">
      <formula>$Q$48="No"</formula>
    </cfRule>
  </conditionalFormatting>
  <conditionalFormatting sqref="O49:O50">
    <cfRule type="expression" dxfId="34" priority="36">
      <formula>$O$50="No"</formula>
    </cfRule>
    <cfRule type="expression" dxfId="33" priority="37">
      <formula>$O$50="Yes"</formula>
    </cfRule>
  </conditionalFormatting>
  <conditionalFormatting sqref="P49:P50">
    <cfRule type="expression" dxfId="32" priority="34">
      <formula>$P$50="No"</formula>
    </cfRule>
    <cfRule type="expression" dxfId="31" priority="35">
      <formula>$P$50="Yes"</formula>
    </cfRule>
  </conditionalFormatting>
  <conditionalFormatting sqref="O52:Q52">
    <cfRule type="expression" dxfId="30" priority="31">
      <formula>NOT(cdt)</formula>
    </cfRule>
  </conditionalFormatting>
  <conditionalFormatting sqref="E58 Q58">
    <cfRule type="expression" dxfId="29" priority="30">
      <formula>NOT(cdtd)</formula>
    </cfRule>
  </conditionalFormatting>
  <conditionalFormatting sqref="N40:Q59 N62:Q62 N60:O61 P61">
    <cfRule type="expression" dxfId="28" priority="29">
      <formula>$P$64=0</formula>
    </cfRule>
  </conditionalFormatting>
  <conditionalFormatting sqref="P64:P94">
    <cfRule type="expression" dxfId="27" priority="28">
      <formula>P64=0</formula>
    </cfRule>
  </conditionalFormatting>
  <conditionalFormatting sqref="I47:I48">
    <cfRule type="expression" dxfId="26" priority="26">
      <formula>$I$48="Yes"</formula>
    </cfRule>
    <cfRule type="expression" dxfId="25" priority="27">
      <formula>$I$48="No"</formula>
    </cfRule>
  </conditionalFormatting>
  <conditionalFormatting sqref="J47:J48">
    <cfRule type="expression" dxfId="24" priority="24">
      <formula>$J$48="No"</formula>
    </cfRule>
    <cfRule type="expression" dxfId="23" priority="25">
      <formula>$J$48="Yes"</formula>
    </cfRule>
  </conditionalFormatting>
  <conditionalFormatting sqref="K47:K48">
    <cfRule type="expression" dxfId="22" priority="22">
      <formula>$K$48="Yes"</formula>
    </cfRule>
    <cfRule type="expression" dxfId="21" priority="23">
      <formula>$K$48="No"</formula>
    </cfRule>
  </conditionalFormatting>
  <conditionalFormatting sqref="I49:I50">
    <cfRule type="expression" dxfId="20" priority="20">
      <formula>$I$50="No"</formula>
    </cfRule>
    <cfRule type="expression" dxfId="19" priority="21">
      <formula>$I$50="Yes"</formula>
    </cfRule>
  </conditionalFormatting>
  <conditionalFormatting sqref="J49:J50">
    <cfRule type="expression" dxfId="18" priority="18">
      <formula>$I$50="No"</formula>
    </cfRule>
    <cfRule type="expression" dxfId="17" priority="19">
      <formula>$I$50="Yes"</formula>
    </cfRule>
  </conditionalFormatting>
  <conditionalFormatting sqref="K49:K50">
    <cfRule type="expression" dxfId="16" priority="16">
      <formula>$K$50="No"</formula>
    </cfRule>
    <cfRule type="expression" dxfId="15" priority="17">
      <formula>$K$50="Yes"</formula>
    </cfRule>
  </conditionalFormatting>
  <conditionalFormatting sqref="K58">
    <cfRule type="expression" dxfId="14" priority="15">
      <formula>NOT(cdtd)</formula>
    </cfRule>
  </conditionalFormatting>
  <conditionalFormatting sqref="E22:E23">
    <cfRule type="expression" dxfId="13" priority="3">
      <formula>$Q$50="No"</formula>
    </cfRule>
    <cfRule type="expression" dxfId="12" priority="4">
      <formula>$Q$50="Yes"</formula>
    </cfRule>
  </conditionalFormatting>
  <conditionalFormatting sqref="C20:C21">
    <cfRule type="expression" dxfId="11" priority="13">
      <formula>$O$48="Yes"</formula>
    </cfRule>
    <cfRule type="expression" dxfId="10" priority="14">
      <formula>$O$48="No"</formula>
    </cfRule>
  </conditionalFormatting>
  <conditionalFormatting sqref="D20:D21">
    <cfRule type="expression" dxfId="9" priority="11">
      <formula>$P$48="No"</formula>
    </cfRule>
    <cfRule type="expression" dxfId="8" priority="12">
      <formula>$P$48="Yes"</formula>
    </cfRule>
  </conditionalFormatting>
  <conditionalFormatting sqref="E20:E21">
    <cfRule type="expression" dxfId="7" priority="9">
      <formula>$Q$48="Yes"</formula>
    </cfRule>
    <cfRule type="expression" dxfId="6" priority="10">
      <formula>$Q$48="No"</formula>
    </cfRule>
  </conditionalFormatting>
  <conditionalFormatting sqref="C22:C23">
    <cfRule type="expression" dxfId="5" priority="7">
      <formula>$O$50="No"</formula>
    </cfRule>
    <cfRule type="expression" dxfId="4" priority="8">
      <formula>$O$50="Yes"</formula>
    </cfRule>
  </conditionalFormatting>
  <conditionalFormatting sqref="D22:D23">
    <cfRule type="expression" dxfId="3" priority="5">
      <formula>$P$50="No"</formula>
    </cfRule>
    <cfRule type="expression" dxfId="2" priority="6">
      <formula>$P$50="Yes"</formula>
    </cfRule>
  </conditionalFormatting>
  <conditionalFormatting sqref="D35">
    <cfRule type="expression" dxfId="1" priority="2">
      <formula>yes_offset=1</formula>
    </cfRule>
  </conditionalFormatting>
  <conditionalFormatting sqref="D36">
    <cfRule type="expression" dxfId="0" priority="1">
      <formula>yes_carry=1</formula>
    </cfRule>
  </conditionalFormatting>
  <dataValidations disablePrompts="1" count="1">
    <dataValidation type="decimal" allowBlank="1" showInputMessage="1" showErrorMessage="1" sqref="C5:C6 C8:C9 C11:C12 C37:C38 C35 D12:E12" xr:uid="{217381E9-C451-4446-A2BB-011489153E5D}">
      <formula1>0</formula1>
      <formula2>10000000</formula2>
    </dataValidation>
  </dataValidations>
  <pageMargins left="0.7" right="0.7" top="0.75" bottom="0.75" header="0.3" footer="0.3"/>
  <pageSetup paperSize="9" scale="5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6E06E7A55DD3547A6A3AD071D0DDD18" ma:contentTypeVersion="1" ma:contentTypeDescription="Create a new document." ma:contentTypeScope="" ma:versionID="ca63a3411a10aae7e5e8225d4f1e2103">
  <xsd:schema xmlns:xsd="http://www.w3.org/2001/XMLSchema" xmlns:xs="http://www.w3.org/2001/XMLSchema" xmlns:p="http://schemas.microsoft.com/office/2006/metadata/properties" xmlns:ns1="http://schemas.microsoft.com/sharepoint/v3" targetNamespace="http://schemas.microsoft.com/office/2006/metadata/properties" ma:root="true" ma:fieldsID="48c5b5cd9b8d25ff6dd15848836f427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23795E-FCE9-4CDF-870F-36686B653D34}">
  <ds:schemaRefs>
    <ds:schemaRef ds:uri="http://purl.org/dc/terms/"/>
    <ds:schemaRef ds:uri="d29949cc-9d21-44fa-86e2-c7db7425ec57"/>
    <ds:schemaRef ds:uri="http://schemas.microsoft.com/office/2006/documentManagement/types"/>
    <ds:schemaRef ds:uri="http://www.w3.org/XML/1998/namespace"/>
    <ds:schemaRef ds:uri="dde1e96a-4c1c-40a0-b16f-ae1095b633cb"/>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2536A862-C95A-49C0-B99C-5C4C81596BC2}"/>
</file>

<file path=customXml/itemProps3.xml><?xml version="1.0" encoding="utf-8"?>
<ds:datastoreItem xmlns:ds="http://schemas.openxmlformats.org/officeDocument/2006/customXml" ds:itemID="{A5C29529-0664-4AB1-AAB3-055CD7D010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30</vt:i4>
      </vt:variant>
    </vt:vector>
  </HeadingPairs>
  <TitlesOfParts>
    <vt:vector size="31" baseType="lpstr">
      <vt:lpstr>NHS offset calculator</vt:lpstr>
      <vt:lpstr>'with equal carry forward'!cdt</vt:lpstr>
      <vt:lpstr>cdt</vt:lpstr>
      <vt:lpstr>'with equal carry forward'!cdtb</vt:lpstr>
      <vt:lpstr>cdtb</vt:lpstr>
      <vt:lpstr>'with equal carry forward'!cdtc</vt:lpstr>
      <vt:lpstr>cdtc</vt:lpstr>
      <vt:lpstr>'with equal carry forward'!cdtd</vt:lpstr>
      <vt:lpstr>cdtd</vt:lpstr>
      <vt:lpstr>'with equal carry forward'!dl</vt:lpstr>
      <vt:lpstr>dl</vt:lpstr>
      <vt:lpstr>'with equal carry forward'!du</vt:lpstr>
      <vt:lpstr>du</vt:lpstr>
      <vt:lpstr>'NHS offset calculator'!dunit</vt:lpstr>
      <vt:lpstr>'with equal carry forward'!dunit</vt:lpstr>
      <vt:lpstr>'with equal carry forward'!lowerthresh</vt:lpstr>
      <vt:lpstr>lowerthresh</vt:lpstr>
      <vt:lpstr>'with equal carry forward'!ol</vt:lpstr>
      <vt:lpstr>ol</vt:lpstr>
      <vt:lpstr>'with equal carry forward'!ortho</vt:lpstr>
      <vt:lpstr>ortho</vt:lpstr>
      <vt:lpstr>'with equal carry forward'!ou</vt:lpstr>
      <vt:lpstr>ou</vt:lpstr>
      <vt:lpstr>'NHS offset calculator'!Print_Area</vt:lpstr>
      <vt:lpstr>'with equal carry forward'!Print_Area</vt:lpstr>
      <vt:lpstr>'NHS offset calculator'!unit</vt:lpstr>
      <vt:lpstr>'with equal carry forward'!unit</vt:lpstr>
      <vt:lpstr>'with equal carry forward'!yes_carry</vt:lpstr>
      <vt:lpstr>yes_carry</vt:lpstr>
      <vt:lpstr>'with equal carry forward'!yes_offset</vt:lpstr>
      <vt:lpstr>yes_offset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NHS England: Targets spreadsheet for calculations 2021-22</dc:title>
  <dc:subject/>
  <dc:creator>James Goldman</dc:creator>
  <cp:keywords/>
  <dc:description/>
  <cp:lastModifiedBy>James Goldman</cp:lastModifiedBy>
  <cp:revision/>
  <dcterms:created xsi:type="dcterms:W3CDTF">2021-08-25T11:27:48Z</dcterms:created>
  <dcterms:modified xsi:type="dcterms:W3CDTF">2022-08-23T11:53:15Z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0x010100B6E06E7A55DD3547A6A3AD071D0DDD18</vt:lpwstr>
  </property>
</Properties>
</file>